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 de Trabalho 2021\Séries\2025\Champions League Botão FC\"/>
    </mc:Choice>
  </mc:AlternateContent>
  <xr:revisionPtr revIDLastSave="0" documentId="13_ncr:1_{34AFAE2C-DFA2-4CD2-B145-212C03A434B7}" xr6:coauthVersionLast="45" xr6:coauthVersionMax="45" xr10:uidLastSave="{00000000-0000-0000-0000-000000000000}"/>
  <bookViews>
    <workbookView xWindow="-120" yWindow="-120" windowWidth="20730" windowHeight="11310" activeTab="5" xr2:uid="{0B456AD3-B804-48C4-9A5C-1F472BBDC6FE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  <sheet name="Finais" sheetId="6" r:id="rId6"/>
    <sheet name="Premiaçã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8" i="6" l="1"/>
  <c r="AE18" i="6"/>
  <c r="AB18" i="6"/>
  <c r="Y18" i="6"/>
  <c r="X18" i="6"/>
  <c r="AD15" i="6"/>
  <c r="AE15" i="6"/>
  <c r="AB15" i="6"/>
  <c r="Z15" i="6"/>
  <c r="W15" i="6"/>
  <c r="AD12" i="6"/>
  <c r="AE12" i="6"/>
  <c r="AB12" i="6"/>
  <c r="Z12" i="6"/>
  <c r="W12" i="6"/>
  <c r="AD11" i="6"/>
  <c r="AE11" i="6"/>
  <c r="AB11" i="6"/>
  <c r="Y11" i="6"/>
  <c r="X11" i="6"/>
  <c r="AD8" i="6"/>
  <c r="AE8" i="6"/>
  <c r="AB8" i="6"/>
  <c r="Z8" i="6"/>
  <c r="W8" i="6"/>
  <c r="AD7" i="6"/>
  <c r="AE7" i="6"/>
  <c r="AB7" i="6"/>
  <c r="Y7" i="6"/>
  <c r="X7" i="6"/>
  <c r="AD6" i="6"/>
  <c r="AE6" i="6"/>
  <c r="AB6" i="6"/>
  <c r="Y6" i="6"/>
  <c r="X6" i="6"/>
  <c r="AD5" i="6"/>
  <c r="AE5" i="6"/>
  <c r="AB5" i="6"/>
  <c r="Y5" i="6"/>
  <c r="X5" i="6"/>
  <c r="L17" i="6"/>
  <c r="L14" i="6"/>
  <c r="L10" i="6"/>
  <c r="L4" i="6"/>
  <c r="D21" i="4"/>
  <c r="D20" i="4"/>
  <c r="D19" i="4"/>
  <c r="D18" i="4"/>
  <c r="D17" i="4"/>
  <c r="D16" i="4"/>
  <c r="D15" i="4"/>
  <c r="D12" i="4"/>
  <c r="D11" i="4"/>
  <c r="D10" i="4"/>
  <c r="D9" i="4"/>
  <c r="D8" i="4"/>
  <c r="D7" i="4"/>
  <c r="D6" i="4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K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K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K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K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K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9" i="2"/>
  <c r="B18" i="2"/>
  <c r="B17" i="2"/>
  <c r="B16" i="2"/>
  <c r="B15" i="2"/>
  <c r="B14" i="2"/>
  <c r="B13" i="2"/>
  <c r="B10" i="2"/>
  <c r="B9" i="2"/>
  <c r="B8" i="2"/>
  <c r="B7" i="2"/>
  <c r="B6" i="2"/>
  <c r="B5" i="2"/>
  <c r="B4" i="2"/>
  <c r="I11" i="4" l="1"/>
  <c r="K19" i="4"/>
  <c r="J10" i="4"/>
  <c r="I20" i="4"/>
  <c r="K16" i="4"/>
  <c r="J15" i="4"/>
  <c r="G10" i="4"/>
  <c r="G11" i="4"/>
  <c r="G8" i="4"/>
  <c r="J18" i="4"/>
  <c r="L11" i="4"/>
  <c r="I18" i="4"/>
  <c r="K8" i="4"/>
  <c r="I10" i="4"/>
  <c r="I17" i="4"/>
  <c r="G18" i="4"/>
  <c r="L21" i="4"/>
  <c r="H21" i="4"/>
  <c r="K21" i="4"/>
  <c r="G21" i="4"/>
  <c r="J21" i="4"/>
  <c r="H11" i="4"/>
  <c r="H17" i="4"/>
  <c r="F17" i="4" s="1"/>
  <c r="H7" i="4"/>
  <c r="I7" i="4"/>
  <c r="J11" i="4"/>
  <c r="I15" i="4"/>
  <c r="L15" i="4"/>
  <c r="H15" i="4"/>
  <c r="K15" i="4"/>
  <c r="G15" i="4"/>
  <c r="L7" i="4"/>
  <c r="I6" i="4"/>
  <c r="L6" i="4"/>
  <c r="H6" i="4"/>
  <c r="K6" i="4"/>
  <c r="G6" i="4"/>
  <c r="J7" i="4"/>
  <c r="K9" i="4"/>
  <c r="H10" i="4"/>
  <c r="I12" i="4"/>
  <c r="L12" i="4"/>
  <c r="H12" i="4"/>
  <c r="K12" i="4"/>
  <c r="G12" i="4"/>
  <c r="J16" i="4"/>
  <c r="K18" i="4"/>
  <c r="L20" i="4"/>
  <c r="I21" i="4"/>
  <c r="L9" i="4"/>
  <c r="G19" i="4"/>
  <c r="J6" i="4"/>
  <c r="J8" i="4"/>
  <c r="H9" i="4"/>
  <c r="L10" i="4"/>
  <c r="J12" i="4"/>
  <c r="G16" i="4"/>
  <c r="J17" i="4"/>
  <c r="J19" i="4"/>
  <c r="G7" i="4"/>
  <c r="K7" i="4"/>
  <c r="H8" i="4"/>
  <c r="L8" i="4"/>
  <c r="I9" i="4"/>
  <c r="H16" i="4"/>
  <c r="L16" i="4"/>
  <c r="G17" i="4"/>
  <c r="K17" i="4"/>
  <c r="H18" i="4"/>
  <c r="L18" i="4"/>
  <c r="H19" i="4"/>
  <c r="L19" i="4"/>
  <c r="J20" i="4"/>
  <c r="I8" i="4"/>
  <c r="F8" i="4" s="1"/>
  <c r="E8" i="4" s="1"/>
  <c r="J9" i="4"/>
  <c r="K11" i="4"/>
  <c r="I16" i="4"/>
  <c r="L17" i="4"/>
  <c r="I19" i="4"/>
  <c r="G20" i="4"/>
  <c r="K20" i="4"/>
  <c r="G9" i="4"/>
  <c r="K10" i="4"/>
  <c r="H20" i="4"/>
  <c r="M21" i="4" l="1"/>
  <c r="F11" i="4"/>
  <c r="M8" i="4"/>
  <c r="P8" i="4" s="1"/>
  <c r="E11" i="4"/>
  <c r="F20" i="4"/>
  <c r="E20" i="4" s="1"/>
  <c r="F21" i="4"/>
  <c r="E21" i="4" s="1"/>
  <c r="F10" i="4"/>
  <c r="E10" i="4" s="1"/>
  <c r="F19" i="4"/>
  <c r="E19" i="4" s="1"/>
  <c r="M18" i="4"/>
  <c r="M16" i="4"/>
  <c r="M11" i="4"/>
  <c r="M17" i="4"/>
  <c r="F9" i="4"/>
  <c r="E9" i="4" s="1"/>
  <c r="F12" i="4"/>
  <c r="E12" i="4" s="1"/>
  <c r="F6" i="4"/>
  <c r="E6" i="4" s="1"/>
  <c r="F15" i="4"/>
  <c r="M9" i="4"/>
  <c r="M10" i="4"/>
  <c r="M12" i="4"/>
  <c r="M6" i="4"/>
  <c r="F7" i="4"/>
  <c r="E7" i="4" s="1"/>
  <c r="M19" i="4"/>
  <c r="N8" i="4"/>
  <c r="M20" i="4"/>
  <c r="F18" i="4"/>
  <c r="F16" i="4"/>
  <c r="E16" i="4" s="1"/>
  <c r="M7" i="4"/>
  <c r="M15" i="4"/>
  <c r="S2" i="4"/>
  <c r="R2" i="6" s="1"/>
  <c r="E17" i="4"/>
  <c r="E15" i="4"/>
  <c r="N21" i="4" l="1"/>
  <c r="N11" i="4"/>
  <c r="P21" i="4"/>
  <c r="E18" i="4"/>
  <c r="N18" i="4" s="1"/>
  <c r="N6" i="4"/>
  <c r="N10" i="4"/>
  <c r="P12" i="4"/>
  <c r="P10" i="4"/>
  <c r="N20" i="4"/>
  <c r="N17" i="4"/>
  <c r="P19" i="4"/>
  <c r="N9" i="4"/>
  <c r="N16" i="4"/>
  <c r="P16" i="4"/>
  <c r="P11" i="4"/>
  <c r="N12" i="4"/>
  <c r="P17" i="4"/>
  <c r="N15" i="4"/>
  <c r="N19" i="4"/>
  <c r="P6" i="4"/>
  <c r="P9" i="4"/>
  <c r="P20" i="4"/>
  <c r="N7" i="4"/>
  <c r="P15" i="4"/>
  <c r="P7" i="4"/>
  <c r="P18" i="4" l="1"/>
  <c r="Q20" i="4" s="1"/>
  <c r="C16" i="4"/>
  <c r="A16" i="4" s="1"/>
  <c r="C20" i="4"/>
  <c r="A20" i="4" s="1"/>
  <c r="C7" i="4"/>
  <c r="A7" i="4" s="1"/>
  <c r="C19" i="4"/>
  <c r="A19" i="4" s="1"/>
  <c r="C18" i="4"/>
  <c r="A18" i="4" s="1"/>
  <c r="C15" i="4"/>
  <c r="C17" i="4"/>
  <c r="A17" i="4" s="1"/>
  <c r="C21" i="4"/>
  <c r="A21" i="4" s="1"/>
  <c r="Q7" i="4"/>
  <c r="Q8" i="4"/>
  <c r="C9" i="4"/>
  <c r="A9" i="4" s="1"/>
  <c r="Q10" i="4"/>
  <c r="C11" i="4"/>
  <c r="A11" i="4" s="1"/>
  <c r="Q11" i="4"/>
  <c r="Q9" i="4"/>
  <c r="Q12" i="4"/>
  <c r="C8" i="4"/>
  <c r="A8" i="4" s="1"/>
  <c r="Q6" i="4"/>
  <c r="C12" i="4"/>
  <c r="A12" i="4" s="1"/>
  <c r="C10" i="4"/>
  <c r="A10" i="4" s="1"/>
  <c r="C6" i="4"/>
  <c r="Q21" i="4" l="1"/>
  <c r="Q18" i="4"/>
  <c r="Q17" i="4"/>
  <c r="B19" i="5" s="1"/>
  <c r="Q16" i="4"/>
  <c r="Q19" i="4"/>
  <c r="Q15" i="4"/>
  <c r="B18" i="5" s="1"/>
  <c r="A15" i="4"/>
  <c r="K18" i="5"/>
  <c r="G17" i="5"/>
  <c r="C16" i="5"/>
  <c r="K14" i="5"/>
  <c r="G13" i="5"/>
  <c r="J17" i="5"/>
  <c r="F16" i="5"/>
  <c r="J13" i="5"/>
  <c r="I19" i="5"/>
  <c r="E18" i="5"/>
  <c r="M16" i="5"/>
  <c r="I15" i="5"/>
  <c r="E14" i="5"/>
  <c r="D19" i="5"/>
  <c r="L13" i="5"/>
  <c r="D16" i="5"/>
  <c r="L16" i="5"/>
  <c r="D17" i="5"/>
  <c r="H15" i="5"/>
  <c r="K15" i="5"/>
  <c r="G14" i="5"/>
  <c r="J18" i="5"/>
  <c r="F17" i="5"/>
  <c r="J14" i="5"/>
  <c r="E19" i="5"/>
  <c r="M17" i="5"/>
  <c r="I16" i="5"/>
  <c r="M13" i="5"/>
  <c r="L17" i="5"/>
  <c r="D18" i="5"/>
  <c r="D14" i="5"/>
  <c r="L15" i="5"/>
  <c r="K17" i="5"/>
  <c r="C15" i="5"/>
  <c r="F15" i="5"/>
  <c r="I18" i="5"/>
  <c r="M15" i="5"/>
  <c r="D15" i="5"/>
  <c r="H19" i="5"/>
  <c r="D13" i="5"/>
  <c r="K19" i="5"/>
  <c r="G18" i="5"/>
  <c r="C17" i="5"/>
  <c r="C13" i="5"/>
  <c r="F13" i="5"/>
  <c r="E15" i="5"/>
  <c r="L14" i="5"/>
  <c r="F19" i="5"/>
  <c r="I14" i="5"/>
  <c r="G19" i="5"/>
  <c r="C18" i="5"/>
  <c r="K16" i="5"/>
  <c r="G15" i="5"/>
  <c r="C14" i="5"/>
  <c r="J19" i="5"/>
  <c r="F18" i="5"/>
  <c r="J15" i="5"/>
  <c r="F14" i="5"/>
  <c r="M18" i="5"/>
  <c r="I17" i="5"/>
  <c r="E16" i="5"/>
  <c r="M14" i="5"/>
  <c r="I13" i="5"/>
  <c r="H16" i="5"/>
  <c r="L18" i="5"/>
  <c r="H13" i="5"/>
  <c r="L19" i="5"/>
  <c r="H14" i="5"/>
  <c r="C19" i="5"/>
  <c r="G16" i="5"/>
  <c r="K13" i="5"/>
  <c r="J16" i="5"/>
  <c r="M19" i="5"/>
  <c r="E17" i="5"/>
  <c r="E13" i="5"/>
  <c r="H17" i="5"/>
  <c r="H18" i="5"/>
  <c r="K8" i="5"/>
  <c r="G7" i="5"/>
  <c r="H6" i="5"/>
  <c r="J7" i="5"/>
  <c r="D6" i="5"/>
  <c r="I4" i="5"/>
  <c r="G6" i="5"/>
  <c r="L6" i="5"/>
  <c r="F5" i="5"/>
  <c r="L8" i="5"/>
  <c r="E6" i="5"/>
  <c r="F4" i="5"/>
  <c r="J9" i="5"/>
  <c r="C8" i="5"/>
  <c r="H7" i="5"/>
  <c r="B4" i="5"/>
  <c r="D4" i="5"/>
  <c r="D5" i="5"/>
  <c r="M7" i="5"/>
  <c r="B6" i="5"/>
  <c r="G4" i="5"/>
  <c r="K9" i="5"/>
  <c r="L4" i="5"/>
  <c r="J8" i="5"/>
  <c r="B5" i="5"/>
  <c r="I9" i="5"/>
  <c r="B9" i="5"/>
  <c r="G10" i="5"/>
  <c r="M9" i="5"/>
  <c r="H9" i="5"/>
  <c r="E10" i="5"/>
  <c r="F8" i="5"/>
  <c r="L5" i="5"/>
  <c r="D10" i="5"/>
  <c r="I6" i="5"/>
  <c r="J4" i="5"/>
  <c r="F6" i="5"/>
  <c r="L9" i="5"/>
  <c r="C6" i="5"/>
  <c r="I5" i="5"/>
  <c r="J6" i="5"/>
  <c r="K7" i="5"/>
  <c r="D8" i="5"/>
  <c r="B8" i="5"/>
  <c r="L10" i="5"/>
  <c r="I7" i="5"/>
  <c r="J5" i="5"/>
  <c r="C4" i="5"/>
  <c r="G9" i="5"/>
  <c r="L7" i="5"/>
  <c r="F9" i="5"/>
  <c r="H8" i="5"/>
  <c r="H10" i="5"/>
  <c r="E9" i="5"/>
  <c r="F7" i="5"/>
  <c r="K5" i="5"/>
  <c r="E5" i="5"/>
  <c r="C7" i="5"/>
  <c r="H4" i="5"/>
  <c r="C10" i="5"/>
  <c r="K6" i="5"/>
  <c r="B10" i="5"/>
  <c r="F10" i="5"/>
  <c r="M6" i="5"/>
  <c r="E8" i="5"/>
  <c r="K4" i="5"/>
  <c r="E4" i="5"/>
  <c r="A6" i="4"/>
  <c r="M10" i="5"/>
  <c r="J10" i="5"/>
  <c r="C9" i="5"/>
  <c r="E7" i="5"/>
  <c r="D7" i="5"/>
  <c r="D9" i="5"/>
  <c r="M8" i="5"/>
  <c r="B7" i="5"/>
  <c r="G5" i="5"/>
  <c r="K10" i="5"/>
  <c r="M5" i="5"/>
  <c r="I10" i="5"/>
  <c r="H5" i="5"/>
  <c r="C5" i="5"/>
  <c r="M4" i="5"/>
  <c r="I8" i="5"/>
  <c r="G8" i="5"/>
  <c r="B15" i="5" l="1"/>
  <c r="B17" i="5"/>
  <c r="B14" i="5"/>
  <c r="B13" i="5"/>
  <c r="B16" i="5"/>
  <c r="D39" i="4"/>
  <c r="D37" i="4"/>
  <c r="E37" i="4"/>
  <c r="D28" i="4"/>
  <c r="D31" i="4"/>
  <c r="E40" i="4"/>
  <c r="D38" i="4"/>
  <c r="E35" i="4"/>
  <c r="D29" i="4"/>
  <c r="E31" i="4"/>
  <c r="E27" i="4"/>
  <c r="D24" i="4"/>
  <c r="E39" i="4"/>
  <c r="E28" i="4"/>
  <c r="D30" i="4"/>
  <c r="D40" i="4"/>
  <c r="E29" i="4"/>
  <c r="D25" i="4"/>
  <c r="D26" i="4"/>
  <c r="E36" i="4"/>
  <c r="D35" i="4"/>
  <c r="E26" i="4"/>
  <c r="E25" i="4"/>
  <c r="E30" i="4"/>
  <c r="E38" i="4"/>
  <c r="D27" i="4"/>
  <c r="E24" i="4"/>
  <c r="D36" i="4"/>
  <c r="C30" i="4" l="1"/>
  <c r="C24" i="4"/>
  <c r="C25" i="4"/>
  <c r="C27" i="4"/>
  <c r="C31" i="4"/>
  <c r="C40" i="4"/>
  <c r="C38" i="4"/>
  <c r="C29" i="4"/>
  <c r="C39" i="4"/>
  <c r="C26" i="4"/>
  <c r="C28" i="4"/>
  <c r="C35" i="4"/>
  <c r="C37" i="4"/>
  <c r="C36" i="4"/>
  <c r="B8" i="6" l="1"/>
  <c r="F8" i="6"/>
  <c r="B7" i="6"/>
  <c r="F5" i="6"/>
  <c r="B5" i="6"/>
  <c r="B6" i="6"/>
  <c r="F6" i="6"/>
  <c r="F7" i="6"/>
  <c r="C12" i="7"/>
  <c r="C15" i="7"/>
  <c r="C13" i="7"/>
  <c r="C14" i="7"/>
  <c r="C17" i="7"/>
  <c r="C16" i="7"/>
  <c r="U8" i="6" l="1"/>
  <c r="AC8" i="6"/>
  <c r="R8" i="6"/>
  <c r="S8" i="6" s="1"/>
  <c r="Y8" i="6"/>
  <c r="N8" i="6"/>
  <c r="O8" i="6" s="1"/>
  <c r="X8" i="6"/>
  <c r="AA8" i="6"/>
  <c r="Z7" i="6"/>
  <c r="AC7" i="6"/>
  <c r="R7" i="6"/>
  <c r="S7" i="6" s="1"/>
  <c r="U7" i="6"/>
  <c r="W7" i="6"/>
  <c r="N7" i="6"/>
  <c r="O7" i="6" s="1"/>
  <c r="AA7" i="6"/>
  <c r="N6" i="6"/>
  <c r="O6" i="6" s="1"/>
  <c r="W6" i="6"/>
  <c r="AC6" i="6"/>
  <c r="U6" i="6"/>
  <c r="AA6" i="6"/>
  <c r="Z6" i="6"/>
  <c r="R6" i="6"/>
  <c r="S6" i="6" s="1"/>
  <c r="Z5" i="6"/>
  <c r="AC5" i="6"/>
  <c r="R5" i="6"/>
  <c r="S5" i="6" s="1"/>
  <c r="U5" i="6"/>
  <c r="N5" i="6"/>
  <c r="O5" i="6" s="1"/>
  <c r="AA5" i="6"/>
  <c r="W5" i="6"/>
  <c r="Q8" i="6" l="1"/>
  <c r="M8" i="6"/>
  <c r="M5" i="6"/>
  <c r="B11" i="6" s="1"/>
  <c r="Q7" i="6"/>
  <c r="M7" i="6"/>
  <c r="Q5" i="6"/>
  <c r="Q6" i="6"/>
  <c r="M6" i="6"/>
  <c r="F11" i="6" l="1"/>
  <c r="AC11" i="6" s="1"/>
  <c r="C8" i="7"/>
  <c r="Z11" i="6"/>
  <c r="R11" i="6"/>
  <c r="S11" i="6" s="1"/>
  <c r="AA11" i="6"/>
  <c r="F12" i="6"/>
  <c r="B12" i="6"/>
  <c r="C9" i="7"/>
  <c r="C10" i="7"/>
  <c r="C11" i="7"/>
  <c r="N11" i="6" l="1"/>
  <c r="O11" i="6" s="1"/>
  <c r="U11" i="6"/>
  <c r="W11" i="6"/>
  <c r="R12" i="6"/>
  <c r="S12" i="6" s="1"/>
  <c r="Q12" i="6" s="1"/>
  <c r="U12" i="6"/>
  <c r="AC12" i="6"/>
  <c r="Y12" i="6"/>
  <c r="N12" i="6"/>
  <c r="O12" i="6" s="1"/>
  <c r="X12" i="6"/>
  <c r="AA12" i="6"/>
  <c r="M12" i="6" l="1"/>
  <c r="Q11" i="6"/>
  <c r="M11" i="6"/>
  <c r="B18" i="6" l="1"/>
  <c r="F18" i="6"/>
  <c r="F15" i="6"/>
  <c r="B15" i="6"/>
  <c r="R18" i="6" l="1"/>
  <c r="S18" i="6" s="1"/>
  <c r="Q18" i="6" s="1"/>
  <c r="U18" i="6"/>
  <c r="Z18" i="6"/>
  <c r="AC18" i="6"/>
  <c r="N18" i="6"/>
  <c r="O18" i="6" s="1"/>
  <c r="M18" i="6" s="1"/>
  <c r="AA18" i="6"/>
  <c r="W18" i="6"/>
  <c r="AC15" i="6"/>
  <c r="R15" i="6"/>
  <c r="Y15" i="6"/>
  <c r="U15" i="6"/>
  <c r="N15" i="6"/>
  <c r="X15" i="6"/>
  <c r="AA15" i="6"/>
  <c r="C5" i="7" l="1"/>
  <c r="C4" i="7"/>
  <c r="S15" i="6"/>
  <c r="Q15" i="6" s="1"/>
  <c r="C7" i="7"/>
  <c r="O15" i="6"/>
  <c r="M15" i="6" s="1"/>
  <c r="C6" i="7"/>
</calcChain>
</file>

<file path=xl/sharedStrings.xml><?xml version="1.0" encoding="utf-8"?>
<sst xmlns="http://schemas.openxmlformats.org/spreadsheetml/2006/main" count="391" uniqueCount="95">
  <si>
    <t>Champions League Botão FC - 04/02/2025 - Equipes</t>
  </si>
  <si>
    <t>JJFUTMESA - jjoliveirajr@jjfutmesa.com.br</t>
  </si>
  <si>
    <t>Champions League Botão FC - 04/02/2025 - Grupos</t>
  </si>
  <si>
    <t>Grupo A</t>
  </si>
  <si>
    <t>Grupo B</t>
  </si>
  <si>
    <t>Champions League Botão FC - 04/02/2025 -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</si>
  <si>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</si>
  <si>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</si>
  <si>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</si>
  <si>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</si>
  <si>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</si>
  <si>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</si>
  <si>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</si>
  <si>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</si>
  <si>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</si>
  <si>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</si>
  <si>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</si>
  <si>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</si>
  <si>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</si>
  <si>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</si>
  <si>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</si>
  <si>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B</t>
  </si>
  <si>
    <t>2ª rodada</t>
  </si>
  <si>
    <t>3ª rodada</t>
  </si>
  <si>
    <t>4ª rodada</t>
  </si>
  <si>
    <t>5ª rodada</t>
  </si>
  <si>
    <t>6ª rodada</t>
  </si>
  <si>
    <t>7ª rodada</t>
  </si>
  <si>
    <t>Champions League Botão FC - 04/02/2025 -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</si>
  <si>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</si>
  <si>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</si>
  <si>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</si>
  <si>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</si>
  <si>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</si>
  <si>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</si>
  <si>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</si>
  <si>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</si>
  <si>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</si>
  <si>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Champions League Botão FC - 04/02/2025 - Classificação</t>
  </si>
  <si>
    <t>IN</t>
  </si>
  <si>
    <t>1A</t>
  </si>
  <si>
    <t>1B</t>
  </si>
  <si>
    <t>2A</t>
  </si>
  <si>
    <t>2B</t>
  </si>
  <si>
    <t>3A</t>
  </si>
  <si>
    <t>3B</t>
  </si>
  <si>
    <t>4A</t>
  </si>
  <si>
    <t>4B</t>
  </si>
  <si>
    <t>OUT</t>
  </si>
  <si>
    <t>5A</t>
  </si>
  <si>
    <t>6A</t>
  </si>
  <si>
    <t>7A</t>
  </si>
  <si>
    <t>5B</t>
  </si>
  <si>
    <t>6B</t>
  </si>
  <si>
    <t>7B</t>
  </si>
  <si>
    <t>Champions League Botão FC - 04/02/2025 - FINAIS</t>
  </si>
  <si>
    <t>CHECK</t>
  </si>
  <si>
    <t>Quartas de Final</t>
  </si>
  <si>
    <t>RODADA ÚNICA</t>
  </si>
  <si>
    <t>MESA</t>
  </si>
  <si>
    <t>PASSA</t>
  </si>
  <si>
    <t>NÃO PASSA</t>
  </si>
  <si>
    <t>Semifinais</t>
  </si>
  <si>
    <t>Disputa de 3º lugar</t>
  </si>
  <si>
    <t>Final</t>
  </si>
  <si>
    <t>CLASSIFICAÇÃO FINAL</t>
  </si>
  <si>
    <t>Champions League Botão FC - 04/02/2025 - Premiação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</si>
  <si>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</si>
  <si>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</si>
  <si>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</si>
  <si>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</si>
  <si>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</si>
  <si>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</si>
  <si>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</si>
  <si>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</si>
  <si>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</si>
  <si>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</si>
  <si>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</si>
  <si>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</si>
  <si>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</si>
  <si>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</si>
  <si>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BAR</t>
  </si>
  <si>
    <t>BAY</t>
  </si>
  <si>
    <t>BOR</t>
  </si>
  <si>
    <t>ESP</t>
  </si>
  <si>
    <t>IMI</t>
  </si>
  <si>
    <t>JUV</t>
  </si>
  <si>
    <t>MIL</t>
  </si>
  <si>
    <t>NAP</t>
  </si>
  <si>
    <t>NEW</t>
  </si>
  <si>
    <t>POR</t>
  </si>
  <si>
    <t>PSG</t>
  </si>
  <si>
    <t>REA</t>
  </si>
  <si>
    <t>ROM</t>
  </si>
  <si>
    <t>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</si>
</sst>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h"/>
    <numFmt numFmtId="165" formatCode="0.0%"/>
    <numFmt numFmtId="166" formatCode="#\º"/>
    <numFmt numFmtId="167" formatCode="hh\.mm\h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sz val="8"/>
      <color indexed="12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sz val="12"/>
      <color indexed="8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  <font>
      <b/>
      <sz val="12"/>
      <color indexed="8"/>
      <name val="Segoe UI Light"/>
      <family val="2"/>
    </font>
    <font>
      <b/>
      <sz val="8"/>
      <color indexed="12"/>
      <name val="Segoe UI Light"/>
      <family val="2"/>
    </font>
    <font>
      <b/>
      <sz val="8"/>
      <color indexed="10"/>
      <name val="Segoe UI Light"/>
      <family val="2"/>
    </font>
    <font>
      <b/>
      <sz val="14"/>
      <color theme="1"/>
      <name val="Segoe UI Light"/>
      <family val="2"/>
    </font>
    <font>
      <b/>
      <sz val="8"/>
      <color indexed="9"/>
      <name val="Segoe UI Light"/>
      <family val="2"/>
    </font>
    <font>
      <b/>
      <sz val="16"/>
      <color indexed="8"/>
      <name val="Copperplate Gothic Bold"/>
      <family val="2"/>
    </font>
    <font>
      <b/>
      <sz val="10"/>
      <color indexed="12"/>
      <name val="Arial"/>
      <family val="2"/>
    </font>
    <font>
      <sz val="10"/>
      <color indexed="23"/>
      <name val="Segoe UI Light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8" fillId="6" borderId="2" xfId="0" applyFont="1" applyFill="1" applyBorder="1" applyAlignment="1" applyProtection="1">
      <alignment horizontal="center"/>
      <protection hidden="1"/>
    </xf>
    <xf numFmtId="0" fontId="19" fillId="7" borderId="2" xfId="0" applyFont="1" applyFill="1" applyBorder="1" applyAlignment="1" applyProtection="1">
      <alignment horizontal="left"/>
      <protection hidden="1"/>
    </xf>
    <xf numFmtId="0" fontId="19" fillId="7" borderId="2" xfId="0" applyFont="1" applyFill="1" applyBorder="1" applyAlignment="1" applyProtection="1">
      <alignment horizontal="right"/>
      <protection hidden="1"/>
    </xf>
    <xf numFmtId="166" fontId="14" fillId="0" borderId="2" xfId="0" applyNumberFormat="1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left"/>
      <protection hidden="1"/>
    </xf>
    <xf numFmtId="165" fontId="14" fillId="0" borderId="2" xfId="0" applyNumberFormat="1" applyFont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right"/>
      <protection hidden="1"/>
    </xf>
    <xf numFmtId="166" fontId="14" fillId="0" borderId="1" xfId="0" applyNumberFormat="1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left"/>
      <protection hidden="1"/>
    </xf>
    <xf numFmtId="165" fontId="14" fillId="0" borderId="1" xfId="0" applyNumberFormat="1" applyFont="1" applyBorder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right"/>
      <protection hidden="1"/>
    </xf>
    <xf numFmtId="0" fontId="14" fillId="0" borderId="0" xfId="0" applyFont="1" applyAlignment="1" applyProtection="1">
      <alignment horizontal="center"/>
      <protection hidden="1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2" fillId="10" borderId="0" xfId="0" applyFont="1" applyFill="1" applyAlignment="1">
      <alignment horizontal="centerContinuous"/>
    </xf>
    <xf numFmtId="167" fontId="19" fillId="0" borderId="0" xfId="0" applyNumberFormat="1" applyFont="1" applyAlignment="1">
      <alignment horizontal="right"/>
    </xf>
    <xf numFmtId="0" fontId="20" fillId="7" borderId="0" xfId="0" applyFont="1" applyFill="1" applyAlignment="1">
      <alignment horizontal="center"/>
    </xf>
    <xf numFmtId="0" fontId="20" fillId="7" borderId="0" xfId="0" applyFont="1" applyFill="1" applyAlignment="1">
      <alignment horizontal="left"/>
    </xf>
    <xf numFmtId="0" fontId="11" fillId="7" borderId="0" xfId="0" applyFont="1" applyFill="1" applyAlignment="1">
      <alignment horizontal="centerContinuous"/>
    </xf>
    <xf numFmtId="0" fontId="21" fillId="7" borderId="0" xfId="0" applyFont="1" applyFill="1" applyAlignment="1">
      <alignment horizontal="centerContinuous"/>
    </xf>
    <xf numFmtId="0" fontId="10" fillId="7" borderId="0" xfId="0" applyFont="1" applyFill="1" applyAlignment="1">
      <alignment horizontal="centerContinuous"/>
    </xf>
    <xf numFmtId="0" fontId="22" fillId="7" borderId="0" xfId="0" applyFont="1" applyFill="1" applyAlignment="1">
      <alignment horizontal="centerContinuous"/>
    </xf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10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4" fillId="2" borderId="0" xfId="0" applyFont="1" applyFill="1" applyAlignment="1" applyProtection="1">
      <alignment horizontal="center"/>
      <protection locked="0"/>
    </xf>
    <xf numFmtId="0" fontId="23" fillId="0" borderId="0" xfId="0" applyFont="1"/>
    <xf numFmtId="0" fontId="24" fillId="0" borderId="0" xfId="0" applyFont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12" fillId="10" borderId="0" xfId="0" applyFont="1" applyFill="1" applyAlignment="1" applyProtection="1">
      <alignment horizontal="centerContinuous"/>
      <protection hidden="1"/>
    </xf>
    <xf numFmtId="0" fontId="23" fillId="11" borderId="2" xfId="0" applyFont="1" applyFill="1" applyBorder="1" applyAlignment="1" applyProtection="1">
      <alignment horizontal="center"/>
      <protection hidden="1"/>
    </xf>
    <xf numFmtId="0" fontId="23" fillId="7" borderId="2" xfId="0" applyFont="1" applyFill="1" applyBorder="1" applyAlignment="1" applyProtection="1">
      <alignment horizontal="left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1D03-05BC-4695-AADB-7A7DC09A76C1}">
  <dimension ref="A1:C1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16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91</v>
      </c>
      <c r="C3" s="4">
        <v>0.9451177716255188</v>
      </c>
    </row>
    <row r="4" spans="1:3" x14ac:dyDescent="0.25">
      <c r="A4" s="5">
        <v>2</v>
      </c>
      <c r="B4" s="6" t="s">
        <v>86</v>
      </c>
      <c r="C4" s="4">
        <v>0.87566173076629639</v>
      </c>
    </row>
    <row r="5" spans="1:3" x14ac:dyDescent="0.25">
      <c r="A5" s="5">
        <v>3</v>
      </c>
      <c r="B5" s="6" t="s">
        <v>83</v>
      </c>
      <c r="C5" s="4">
        <v>0.84361773729324341</v>
      </c>
    </row>
    <row r="6" spans="1:3" x14ac:dyDescent="0.25">
      <c r="A6" s="5">
        <v>4</v>
      </c>
      <c r="B6" s="6" t="s">
        <v>88</v>
      </c>
      <c r="C6" s="4">
        <v>0.81043672561645508</v>
      </c>
    </row>
    <row r="7" spans="1:3" x14ac:dyDescent="0.25">
      <c r="A7" s="5">
        <v>5</v>
      </c>
      <c r="B7" s="6" t="s">
        <v>92</v>
      </c>
      <c r="C7" s="4">
        <v>0.6821296215057373</v>
      </c>
    </row>
    <row r="8" spans="1:3" x14ac:dyDescent="0.25">
      <c r="A8" s="5">
        <v>6</v>
      </c>
      <c r="B8" s="6" t="s">
        <v>81</v>
      </c>
      <c r="C8" s="4">
        <v>0.6778985857963562</v>
      </c>
    </row>
    <row r="9" spans="1:3" x14ac:dyDescent="0.25">
      <c r="A9" s="5">
        <v>7</v>
      </c>
      <c r="B9" s="6" t="s">
        <v>94</v>
      </c>
      <c r="C9" s="4">
        <v>0.63535916805267334</v>
      </c>
    </row>
    <row r="10" spans="1:3" x14ac:dyDescent="0.25">
      <c r="A10" s="5">
        <v>8</v>
      </c>
      <c r="B10" s="6" t="s">
        <v>87</v>
      </c>
      <c r="C10" s="4">
        <v>0.61153656244277954</v>
      </c>
    </row>
    <row r="11" spans="1:3" x14ac:dyDescent="0.25">
      <c r="A11" s="5">
        <v>9</v>
      </c>
      <c r="B11" s="6" t="s">
        <v>82</v>
      </c>
      <c r="C11" s="4">
        <v>0.5950390100479126</v>
      </c>
    </row>
    <row r="12" spans="1:3" x14ac:dyDescent="0.25">
      <c r="A12" s="5">
        <v>10</v>
      </c>
      <c r="B12" s="6" t="s">
        <v>89</v>
      </c>
      <c r="C12" s="4">
        <v>0.47931545972824097</v>
      </c>
    </row>
    <row r="13" spans="1:3" x14ac:dyDescent="0.25">
      <c r="A13" s="5">
        <v>11</v>
      </c>
      <c r="B13" s="6" t="s">
        <v>84</v>
      </c>
      <c r="C13" s="4">
        <v>0.23882699012756348</v>
      </c>
    </row>
    <row r="14" spans="1:3" x14ac:dyDescent="0.25">
      <c r="A14" s="5">
        <v>12</v>
      </c>
      <c r="B14" s="6" t="s">
        <v>93</v>
      </c>
      <c r="C14" s="4">
        <v>0.20551484823226929</v>
      </c>
    </row>
    <row r="15" spans="1:3" x14ac:dyDescent="0.25">
      <c r="A15" s="5">
        <v>13</v>
      </c>
      <c r="B15" s="6" t="s">
        <v>90</v>
      </c>
      <c r="C15" s="4">
        <v>0.1907883882522583</v>
      </c>
    </row>
    <row r="16" spans="1:3" x14ac:dyDescent="0.25">
      <c r="A16" s="5">
        <v>14</v>
      </c>
      <c r="B16" s="6" t="s">
        <v>85</v>
      </c>
      <c r="C16" s="4">
        <v>5.3199231624603271E-2</v>
      </c>
    </row>
  </sheetData>
  <sheetProtection algorithmName="SHA-512" hashValue="+ot6Eru44WvDLaM3iZQTFZAUtEZLZRXdPWUQx56ISK730JBNwhp7//yImlY0MoeiDUMeWxq4Zi768/vG28pIug==" saltValue="TMuSAx6YAVA8fGd6euCQDA==" spinCount="100000" sheet="1" objects="1" scenarios="1" selectLockedCells="1" selectUnlockedCells="1"/>
  <sortState ref="B3:C16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A4FE-369B-425D-A41F-2C2E93F2BA47}">
  <dimension ref="A1:H19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8" ht="20.25" x14ac:dyDescent="0.3">
      <c r="B1" s="2" t="s">
        <v>2</v>
      </c>
    </row>
    <row r="2" spans="1:8" x14ac:dyDescent="0.25">
      <c r="B2" s="3" t="s">
        <v>1</v>
      </c>
    </row>
    <row r="3" spans="1:8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</row>
    <row r="4" spans="1:8" x14ac:dyDescent="0.25">
      <c r="A4" s="1">
        <v>1</v>
      </c>
      <c r="B4" s="8" t="str">
        <f>VLOOKUP($A4, Equipes!$A$2:$B$16, 2, FALSE)</f>
        <v>PSG</v>
      </c>
      <c r="E4" s="1">
        <v>5</v>
      </c>
      <c r="F4" s="1">
        <v>6</v>
      </c>
      <c r="G4" s="1">
        <v>7</v>
      </c>
    </row>
    <row r="5" spans="1:8" x14ac:dyDescent="0.25">
      <c r="A5" s="1">
        <v>2</v>
      </c>
      <c r="B5" s="8" t="str">
        <f>VLOOKUP($A5, Equipes!$A$2:$B$16, 2, FALSE)</f>
        <v>JUV</v>
      </c>
    </row>
    <row r="6" spans="1:8" x14ac:dyDescent="0.25">
      <c r="A6" s="1">
        <v>3</v>
      </c>
      <c r="B6" s="8" t="str">
        <f>VLOOKUP($A6, Equipes!$A$2:$B$16, 2, FALSE)</f>
        <v>BOR</v>
      </c>
    </row>
    <row r="7" spans="1:8" x14ac:dyDescent="0.25">
      <c r="A7" s="1">
        <v>4</v>
      </c>
      <c r="B7" s="8" t="str">
        <f>VLOOKUP($A7, Equipes!$A$2:$B$16, 2, FALSE)</f>
        <v>NAP</v>
      </c>
    </row>
    <row r="8" spans="1:8" x14ac:dyDescent="0.25">
      <c r="A8" s="1">
        <v>5</v>
      </c>
      <c r="B8" s="8" t="str">
        <f>VLOOKUP($A8, Equipes!$A$2:$B$16, 2, FALSE)</f>
        <v>REA</v>
      </c>
    </row>
    <row r="9" spans="1:8" x14ac:dyDescent="0.25">
      <c r="A9" s="1">
        <v>6</v>
      </c>
      <c r="B9" s="8" t="str">
        <f>VLOOKUP($A9, Equipes!$A$2:$B$16, 2, FALSE)</f>
        <v>BAR</v>
      </c>
    </row>
    <row r="10" spans="1:8" x14ac:dyDescent="0.25">
      <c r="A10" s="1">
        <v>7</v>
      </c>
      <c r="B10" s="8" t="str">
        <f>VLOOKUP($A10, Equipes!$A$2:$B$16, 2, FALSE)</f>
        <v>WOL</v>
      </c>
    </row>
    <row r="12" spans="1:8" ht="23.65" customHeight="1" x14ac:dyDescent="0.25">
      <c r="B12" s="7" t="s">
        <v>4</v>
      </c>
      <c r="E12" s="1">
        <v>8</v>
      </c>
      <c r="F12" s="1">
        <v>9</v>
      </c>
      <c r="G12" s="1">
        <v>10</v>
      </c>
      <c r="H12" s="1">
        <v>11</v>
      </c>
    </row>
    <row r="13" spans="1:8" x14ac:dyDescent="0.25">
      <c r="A13" s="1">
        <v>8</v>
      </c>
      <c r="B13" s="8" t="str">
        <f>VLOOKUP($A13, Equipes!$A$2:$B$16, 2, FALSE)</f>
        <v>MIL</v>
      </c>
      <c r="E13" s="1">
        <v>12</v>
      </c>
      <c r="F13" s="1">
        <v>13</v>
      </c>
      <c r="G13" s="1">
        <v>14</v>
      </c>
    </row>
    <row r="14" spans="1:8" x14ac:dyDescent="0.25">
      <c r="A14" s="1">
        <v>9</v>
      </c>
      <c r="B14" s="8" t="str">
        <f>VLOOKUP($A14, Equipes!$A$2:$B$16, 2, FALSE)</f>
        <v>BAY</v>
      </c>
    </row>
    <row r="15" spans="1:8" x14ac:dyDescent="0.25">
      <c r="A15" s="1">
        <v>10</v>
      </c>
      <c r="B15" s="8" t="str">
        <f>VLOOKUP($A15, Equipes!$A$2:$B$16, 2, FALSE)</f>
        <v>NEW</v>
      </c>
    </row>
    <row r="16" spans="1:8" x14ac:dyDescent="0.25">
      <c r="A16" s="1">
        <v>11</v>
      </c>
      <c r="B16" s="8" t="str">
        <f>VLOOKUP($A16, Equipes!$A$2:$B$16, 2, FALSE)</f>
        <v>ESP</v>
      </c>
    </row>
    <row r="17" spans="1:2" x14ac:dyDescent="0.25">
      <c r="A17" s="1">
        <v>12</v>
      </c>
      <c r="B17" s="8" t="str">
        <f>VLOOKUP($A17, Equipes!$A$2:$B$16, 2, FALSE)</f>
        <v>ROM</v>
      </c>
    </row>
    <row r="18" spans="1:2" x14ac:dyDescent="0.25">
      <c r="A18" s="1">
        <v>13</v>
      </c>
      <c r="B18" s="8" t="str">
        <f>VLOOKUP($A18, Equipes!$A$2:$B$16, 2, FALSE)</f>
        <v>POR</v>
      </c>
    </row>
    <row r="19" spans="1:2" x14ac:dyDescent="0.25">
      <c r="A19" s="1">
        <v>14</v>
      </c>
      <c r="B19" s="8" t="str">
        <f>VLOOKUP($A19, Equipes!$A$2:$B$16, 2, FALSE)</f>
        <v>IMI</v>
      </c>
    </row>
  </sheetData>
  <sheetProtection algorithmName="SHA-512" hashValue="oRECUzu7qR3ff6mwJc1EiLJrHp9RBn5fJGl95aLwZOe7vgCLCfQFLkvAfKnk7qzowhIBLzzbAEqAwlTh0EanxQ==" saltValue="l1EgdpXrdh7NqXfWDABcL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290D-D144-4424-A422-8712CEF73BD6}">
  <dimension ref="A1:W51"/>
  <sheetViews>
    <sheetView showGridLines="0" topLeftCell="B1" zoomScale="140" zoomScaleNormal="140" workbookViewId="0">
      <pane ySplit="2" topLeftCell="A4" activePane="bottomLeft" state="frozen"/>
      <selection activeCell="B1" sqref="B1"/>
      <selection pane="bottomLeft" activeCell="C4" sqref="C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5</v>
      </c>
      <c r="M1" s="8" t="s">
        <v>6</v>
      </c>
    </row>
    <row r="2" spans="1:23" x14ac:dyDescent="0.25">
      <c r="B2" s="3" t="s">
        <v>1</v>
      </c>
      <c r="M2" s="8">
        <v>42</v>
      </c>
    </row>
    <row r="3" spans="1:23" x14ac:dyDescent="0.25">
      <c r="B3" s="13" t="s">
        <v>7</v>
      </c>
      <c r="C3" s="14"/>
      <c r="D3" s="14"/>
      <c r="E3" s="14"/>
      <c r="F3" s="15"/>
      <c r="G3" s="16"/>
      <c r="H3" s="13" t="s">
        <v>8</v>
      </c>
      <c r="I3" s="13" t="s">
        <v>9</v>
      </c>
      <c r="J3" s="13" t="s">
        <v>10</v>
      </c>
      <c r="K3" s="17">
        <v>45692.802083333336</v>
      </c>
      <c r="M3" s="12" t="s">
        <v>11</v>
      </c>
      <c r="N3" s="12" t="s">
        <v>11</v>
      </c>
      <c r="O3" s="12" t="s">
        <v>12</v>
      </c>
      <c r="P3" s="12" t="s">
        <v>13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12</v>
      </c>
      <c r="V3" s="12" t="s">
        <v>17</v>
      </c>
      <c r="W3" s="12" t="s">
        <v>18</v>
      </c>
    </row>
    <row r="4" spans="1:23" x14ac:dyDescent="0.25">
      <c r="A4" s="9">
        <v>1</v>
      </c>
      <c r="B4" s="8" t="str">
        <f>VLOOKUP($A4, Equipes!$A$3:$B$16, 2, FALSE)</f>
        <v>PSG</v>
      </c>
      <c r="C4" s="18">
        <v>5</v>
      </c>
      <c r="D4" s="10" t="s">
        <v>19</v>
      </c>
      <c r="E4" s="18">
        <v>3</v>
      </c>
      <c r="F4" s="11" t="str">
        <f>VLOOKUP($G4, Equipes!$A$3:$B$16, 2, FALSE)</f>
        <v>REA</v>
      </c>
      <c r="G4" s="9">
        <v>5</v>
      </c>
      <c r="H4" s="8">
        <v>3</v>
      </c>
      <c r="I4" s="8" t="s">
        <v>20</v>
      </c>
      <c r="J4" s="8">
        <v>1</v>
      </c>
      <c r="M4" s="8" t="str">
        <f t="shared" ref="M4:M9" si="0">IF(OR(C4 = "",E4 = ""), "", B4)</f>
        <v>PSG</v>
      </c>
      <c r="N4" s="8" t="str">
        <f t="shared" ref="N4:N9" si="1">IF(OR(C4 = "",E4 = ""), "", F4)</f>
        <v>REA</v>
      </c>
      <c r="O4" s="8" t="str">
        <f t="shared" ref="O4:O9" si="2">IF(C4&gt;E4,B4, IF(E4&gt;C4,F4, ""))</f>
        <v>PSG</v>
      </c>
      <c r="P4" s="8" t="str">
        <f t="shared" ref="P4:P9" si="3">IF(OR(C4 = "",E4 = ""), "", IF(C4=E4,B4, ""))</f>
        <v/>
      </c>
      <c r="Q4" s="8" t="str">
        <f t="shared" ref="Q4:Q9" si="4">IF(OR(C4 = "",E4 = ""), "", IF(C4=E4,F4, ""))</f>
        <v/>
      </c>
      <c r="R4" s="8" t="str">
        <f t="shared" ref="R4:R9" si="5">IF(C4&gt;E4,F4, IF(E4&gt;C4,B4, ""))</f>
        <v>REA</v>
      </c>
      <c r="S4" s="8" t="str">
        <f t="shared" ref="S4:S9" si="6">IF(OR(C4 = "",E4 = ""), "", B4)</f>
        <v>PSG</v>
      </c>
      <c r="T4" s="8">
        <f t="shared" ref="T4:T9" si="7">IF(C4 = "", "", C4)</f>
        <v>5</v>
      </c>
      <c r="U4" s="8" t="str">
        <f t="shared" ref="U4:U9" si="8">IF(OR(C4 = "",E4 = ""), "", F4)</f>
        <v>REA</v>
      </c>
      <c r="V4" s="8">
        <f t="shared" ref="V4:V9" si="9">IF(E4 = "", "", E4)</f>
        <v>3</v>
      </c>
      <c r="W4" s="8">
        <f t="shared" ref="W4:W9" si="10">IF(C4 = "", "", C4)</f>
        <v>5</v>
      </c>
    </row>
    <row r="5" spans="1:23" x14ac:dyDescent="0.25">
      <c r="A5" s="9">
        <v>2</v>
      </c>
      <c r="B5" s="19" t="str">
        <f>VLOOKUP($A5, Equipes!$A$3:$B$16, 2, FALSE)</f>
        <v>JUV</v>
      </c>
      <c r="C5" s="18">
        <v>4</v>
      </c>
      <c r="D5" s="20" t="s">
        <v>19</v>
      </c>
      <c r="E5" s="18">
        <v>1</v>
      </c>
      <c r="F5" s="21" t="str">
        <f>VLOOKUP($G5, Equipes!$A$3:$B$16, 2, FALSE)</f>
        <v>BAR</v>
      </c>
      <c r="G5" s="22">
        <v>6</v>
      </c>
      <c r="H5" s="19">
        <v>4</v>
      </c>
      <c r="I5" s="19" t="s">
        <v>20</v>
      </c>
      <c r="J5" s="19">
        <v>1</v>
      </c>
      <c r="K5" s="19"/>
      <c r="M5" s="8" t="str">
        <f t="shared" si="0"/>
        <v>JUV</v>
      </c>
      <c r="N5" s="8" t="str">
        <f t="shared" si="1"/>
        <v>BAR</v>
      </c>
      <c r="O5" s="8" t="str">
        <f t="shared" si="2"/>
        <v>JUV</v>
      </c>
      <c r="P5" s="8" t="str">
        <f t="shared" si="3"/>
        <v/>
      </c>
      <c r="Q5" s="8" t="str">
        <f t="shared" si="4"/>
        <v/>
      </c>
      <c r="R5" s="8" t="str">
        <f t="shared" si="5"/>
        <v>BAR</v>
      </c>
      <c r="S5" s="8" t="str">
        <f t="shared" si="6"/>
        <v>JUV</v>
      </c>
      <c r="T5" s="8">
        <f t="shared" si="7"/>
        <v>4</v>
      </c>
      <c r="U5" s="8" t="str">
        <f t="shared" si="8"/>
        <v>BAR</v>
      </c>
      <c r="V5" s="8">
        <f t="shared" si="9"/>
        <v>1</v>
      </c>
      <c r="W5" s="8">
        <f t="shared" si="10"/>
        <v>4</v>
      </c>
    </row>
    <row r="6" spans="1:23" x14ac:dyDescent="0.25">
      <c r="A6" s="9">
        <v>3</v>
      </c>
      <c r="B6" s="8" t="str">
        <f>VLOOKUP($A6, Equipes!$A$3:$B$16, 2, FALSE)</f>
        <v>BOR</v>
      </c>
      <c r="C6" s="18">
        <v>1</v>
      </c>
      <c r="D6" s="10" t="s">
        <v>19</v>
      </c>
      <c r="E6" s="18">
        <v>2</v>
      </c>
      <c r="F6" s="11" t="str">
        <f>VLOOKUP($G6, Equipes!$A$3:$B$16, 2, FALSE)</f>
        <v>WOL</v>
      </c>
      <c r="G6" s="9">
        <v>7</v>
      </c>
      <c r="H6" s="8">
        <v>2</v>
      </c>
      <c r="I6" s="8" t="s">
        <v>20</v>
      </c>
      <c r="J6" s="8">
        <v>1</v>
      </c>
      <c r="M6" s="8" t="str">
        <f t="shared" si="0"/>
        <v>BOR</v>
      </c>
      <c r="N6" s="8" t="str">
        <f t="shared" si="1"/>
        <v>WOL</v>
      </c>
      <c r="O6" s="8" t="str">
        <f t="shared" si="2"/>
        <v>WOL</v>
      </c>
      <c r="P6" s="8" t="str">
        <f t="shared" si="3"/>
        <v/>
      </c>
      <c r="Q6" s="8" t="str">
        <f t="shared" si="4"/>
        <v/>
      </c>
      <c r="R6" s="8" t="str">
        <f t="shared" si="5"/>
        <v>BOR</v>
      </c>
      <c r="S6" s="8" t="str">
        <f t="shared" si="6"/>
        <v>BOR</v>
      </c>
      <c r="T6" s="8">
        <f t="shared" si="7"/>
        <v>1</v>
      </c>
      <c r="U6" s="8" t="str">
        <f t="shared" si="8"/>
        <v>WOL</v>
      </c>
      <c r="V6" s="8">
        <f t="shared" si="9"/>
        <v>2</v>
      </c>
      <c r="W6" s="8">
        <f t="shared" si="10"/>
        <v>1</v>
      </c>
    </row>
    <row r="7" spans="1:23" x14ac:dyDescent="0.25">
      <c r="A7" s="9">
        <v>8</v>
      </c>
      <c r="B7" s="19" t="str">
        <f>VLOOKUP($A7, Equipes!$A$3:$B$16, 2, FALSE)</f>
        <v>MIL</v>
      </c>
      <c r="C7" s="18">
        <v>0</v>
      </c>
      <c r="D7" s="20" t="s">
        <v>19</v>
      </c>
      <c r="E7" s="18">
        <v>1</v>
      </c>
      <c r="F7" s="21" t="str">
        <f>VLOOKUP($G7, Equipes!$A$3:$B$16, 2, FALSE)</f>
        <v>ROM</v>
      </c>
      <c r="G7" s="22">
        <v>12</v>
      </c>
      <c r="H7" s="19">
        <v>6</v>
      </c>
      <c r="I7" s="19" t="s">
        <v>21</v>
      </c>
      <c r="J7" s="19">
        <v>1</v>
      </c>
      <c r="K7" s="19"/>
      <c r="M7" s="8" t="str">
        <f t="shared" si="0"/>
        <v>MIL</v>
      </c>
      <c r="N7" s="8" t="str">
        <f t="shared" si="1"/>
        <v>ROM</v>
      </c>
      <c r="O7" s="8" t="str">
        <f t="shared" si="2"/>
        <v>ROM</v>
      </c>
      <c r="P7" s="8" t="str">
        <f t="shared" si="3"/>
        <v/>
      </c>
      <c r="Q7" s="8" t="str">
        <f t="shared" si="4"/>
        <v/>
      </c>
      <c r="R7" s="8" t="str">
        <f t="shared" si="5"/>
        <v>MIL</v>
      </c>
      <c r="S7" s="8" t="str">
        <f t="shared" si="6"/>
        <v>MIL</v>
      </c>
      <c r="T7" s="8">
        <f t="shared" si="7"/>
        <v>0</v>
      </c>
      <c r="U7" s="8" t="str">
        <f t="shared" si="8"/>
        <v>ROM</v>
      </c>
      <c r="V7" s="8">
        <f t="shared" si="9"/>
        <v>1</v>
      </c>
      <c r="W7" s="8">
        <f t="shared" si="10"/>
        <v>0</v>
      </c>
    </row>
    <row r="8" spans="1:23" x14ac:dyDescent="0.25">
      <c r="A8" s="9">
        <v>9</v>
      </c>
      <c r="B8" s="8" t="str">
        <f>VLOOKUP($A8, Equipes!$A$3:$B$16, 2, FALSE)</f>
        <v>BAY</v>
      </c>
      <c r="C8" s="18">
        <v>2</v>
      </c>
      <c r="D8" s="10" t="s">
        <v>19</v>
      </c>
      <c r="E8" s="18">
        <v>0</v>
      </c>
      <c r="F8" s="11" t="str">
        <f>VLOOKUP($G8, Equipes!$A$3:$B$16, 2, FALSE)</f>
        <v>POR</v>
      </c>
      <c r="G8" s="9">
        <v>13</v>
      </c>
      <c r="H8" s="8">
        <v>1</v>
      </c>
      <c r="I8" s="8" t="s">
        <v>21</v>
      </c>
      <c r="J8" s="8">
        <v>1</v>
      </c>
      <c r="M8" s="8" t="str">
        <f t="shared" si="0"/>
        <v>BAY</v>
      </c>
      <c r="N8" s="8" t="str">
        <f t="shared" si="1"/>
        <v>POR</v>
      </c>
      <c r="O8" s="8" t="str">
        <f t="shared" si="2"/>
        <v>BAY</v>
      </c>
      <c r="P8" s="8" t="str">
        <f t="shared" si="3"/>
        <v/>
      </c>
      <c r="Q8" s="8" t="str">
        <f t="shared" si="4"/>
        <v/>
      </c>
      <c r="R8" s="8" t="str">
        <f t="shared" si="5"/>
        <v>POR</v>
      </c>
      <c r="S8" s="8" t="str">
        <f t="shared" si="6"/>
        <v>BAY</v>
      </c>
      <c r="T8" s="8">
        <f t="shared" si="7"/>
        <v>2</v>
      </c>
      <c r="U8" s="8" t="str">
        <f t="shared" si="8"/>
        <v>POR</v>
      </c>
      <c r="V8" s="8">
        <f t="shared" si="9"/>
        <v>0</v>
      </c>
      <c r="W8" s="8">
        <f t="shared" si="10"/>
        <v>2</v>
      </c>
    </row>
    <row r="9" spans="1:23" x14ac:dyDescent="0.25">
      <c r="A9" s="9">
        <v>10</v>
      </c>
      <c r="B9" s="19" t="str">
        <f>VLOOKUP($A9, Equipes!$A$3:$B$16, 2, FALSE)</f>
        <v>NEW</v>
      </c>
      <c r="C9" s="18">
        <v>1</v>
      </c>
      <c r="D9" s="20" t="s">
        <v>19</v>
      </c>
      <c r="E9" s="18">
        <v>4</v>
      </c>
      <c r="F9" s="21" t="str">
        <f>VLOOKUP($G9, Equipes!$A$3:$B$16, 2, FALSE)</f>
        <v>IMI</v>
      </c>
      <c r="G9" s="22">
        <v>14</v>
      </c>
      <c r="H9" s="19">
        <v>5</v>
      </c>
      <c r="I9" s="19" t="s">
        <v>21</v>
      </c>
      <c r="J9" s="19">
        <v>1</v>
      </c>
      <c r="K9" s="19"/>
      <c r="M9" s="8" t="str">
        <f t="shared" si="0"/>
        <v>NEW</v>
      </c>
      <c r="N9" s="8" t="str">
        <f t="shared" si="1"/>
        <v>IMI</v>
      </c>
      <c r="O9" s="8" t="str">
        <f t="shared" si="2"/>
        <v>IMI</v>
      </c>
      <c r="P9" s="8" t="str">
        <f t="shared" si="3"/>
        <v/>
      </c>
      <c r="Q9" s="8" t="str">
        <f t="shared" si="4"/>
        <v/>
      </c>
      <c r="R9" s="8" t="str">
        <f t="shared" si="5"/>
        <v>NEW</v>
      </c>
      <c r="S9" s="8" t="str">
        <f t="shared" si="6"/>
        <v>NEW</v>
      </c>
      <c r="T9" s="8">
        <f t="shared" si="7"/>
        <v>1</v>
      </c>
      <c r="U9" s="8" t="str">
        <f t="shared" si="8"/>
        <v>IMI</v>
      </c>
      <c r="V9" s="8">
        <f t="shared" si="9"/>
        <v>4</v>
      </c>
      <c r="W9" s="8">
        <f t="shared" si="10"/>
        <v>1</v>
      </c>
    </row>
    <row r="10" spans="1:23" x14ac:dyDescent="0.25">
      <c r="B10" s="13" t="s">
        <v>22</v>
      </c>
      <c r="C10" s="14"/>
      <c r="D10" s="14"/>
      <c r="E10" s="14"/>
      <c r="F10" s="15"/>
      <c r="G10" s="16"/>
      <c r="H10" s="13" t="s">
        <v>8</v>
      </c>
      <c r="I10" s="13" t="s">
        <v>9</v>
      </c>
      <c r="J10" s="13" t="s">
        <v>10</v>
      </c>
      <c r="K10" s="17">
        <f>K3 + TIME(0,20,0)</f>
        <v>45692.815972222226</v>
      </c>
      <c r="M10" s="12" t="s">
        <v>11</v>
      </c>
      <c r="N10" s="12" t="s">
        <v>11</v>
      </c>
      <c r="O10" s="12" t="s">
        <v>12</v>
      </c>
      <c r="P10" s="12" t="s">
        <v>13</v>
      </c>
      <c r="Q10" s="12" t="s">
        <v>13</v>
      </c>
      <c r="R10" s="12" t="s">
        <v>14</v>
      </c>
      <c r="S10" s="12" t="s">
        <v>15</v>
      </c>
      <c r="T10" s="12" t="s">
        <v>16</v>
      </c>
      <c r="U10" s="12" t="s">
        <v>12</v>
      </c>
      <c r="V10" s="12" t="s">
        <v>17</v>
      </c>
      <c r="W10" s="12" t="s">
        <v>18</v>
      </c>
    </row>
    <row r="11" spans="1:23" x14ac:dyDescent="0.25">
      <c r="A11" s="9">
        <v>1</v>
      </c>
      <c r="B11" s="19" t="str">
        <f>VLOOKUP($A11, Equipes!$A$3:$B$16, 2, FALSE)</f>
        <v>PSG</v>
      </c>
      <c r="C11" s="18">
        <v>2</v>
      </c>
      <c r="D11" s="20" t="s">
        <v>19</v>
      </c>
      <c r="E11" s="18">
        <v>1</v>
      </c>
      <c r="F11" s="21" t="str">
        <f>VLOOKUP($G11, Equipes!$A$3:$B$16, 2, FALSE)</f>
        <v>BAR</v>
      </c>
      <c r="G11" s="22">
        <v>6</v>
      </c>
      <c r="H11" s="19">
        <v>3</v>
      </c>
      <c r="I11" s="19" t="s">
        <v>20</v>
      </c>
      <c r="J11" s="19">
        <v>2</v>
      </c>
      <c r="K11" s="19"/>
      <c r="M11" s="8" t="str">
        <f t="shared" ref="M11:M16" si="11">IF(OR(C11 = "",E11 = ""), "", B11)</f>
        <v>PSG</v>
      </c>
      <c r="N11" s="8" t="str">
        <f t="shared" ref="N11:N16" si="12">IF(OR(C11 = "",E11 = ""), "", F11)</f>
        <v>BAR</v>
      </c>
      <c r="O11" s="8" t="str">
        <f t="shared" ref="O11:O16" si="13">IF(C11&gt;E11,B11, IF(E11&gt;C11,F11, ""))</f>
        <v>PSG</v>
      </c>
      <c r="P11" s="8" t="str">
        <f t="shared" ref="P11:P16" si="14">IF(OR(C11 = "",E11 = ""), "", IF(C11=E11,B11, ""))</f>
        <v/>
      </c>
      <c r="Q11" s="8" t="str">
        <f t="shared" ref="Q11:Q16" si="15">IF(OR(C11 = "",E11 = ""), "", IF(C11=E11,F11, ""))</f>
        <v/>
      </c>
      <c r="R11" s="8" t="str">
        <f t="shared" ref="R11:R16" si="16">IF(C11&gt;E11,F11, IF(E11&gt;C11,B11, ""))</f>
        <v>BAR</v>
      </c>
      <c r="S11" s="8" t="str">
        <f t="shared" ref="S11:S16" si="17">IF(OR(C11 = "",E11 = ""), "", B11)</f>
        <v>PSG</v>
      </c>
      <c r="T11" s="8">
        <f t="shared" ref="T11:T16" si="18">IF(C11 = "", "", C11)</f>
        <v>2</v>
      </c>
      <c r="U11" s="8" t="str">
        <f t="shared" ref="U11:U16" si="19">IF(OR(C11 = "",E11 = ""), "", F11)</f>
        <v>BAR</v>
      </c>
      <c r="V11" s="8">
        <f t="shared" ref="V11:V16" si="20">IF(E11 = "", "", E11)</f>
        <v>1</v>
      </c>
      <c r="W11" s="8">
        <f t="shared" ref="W11:W16" si="21">IF(C11 = "", "", C11)</f>
        <v>2</v>
      </c>
    </row>
    <row r="12" spans="1:23" x14ac:dyDescent="0.25">
      <c r="A12" s="9">
        <v>5</v>
      </c>
      <c r="B12" s="8" t="str">
        <f>VLOOKUP($A12, Equipes!$A$3:$B$16, 2, FALSE)</f>
        <v>REA</v>
      </c>
      <c r="C12" s="18">
        <v>3</v>
      </c>
      <c r="D12" s="10" t="s">
        <v>19</v>
      </c>
      <c r="E12" s="18">
        <v>2</v>
      </c>
      <c r="F12" s="11" t="str">
        <f>VLOOKUP($G12, Equipes!$A$3:$B$16, 2, FALSE)</f>
        <v>WOL</v>
      </c>
      <c r="G12" s="9">
        <v>7</v>
      </c>
      <c r="H12" s="8">
        <v>2</v>
      </c>
      <c r="I12" s="8" t="s">
        <v>20</v>
      </c>
      <c r="J12" s="8">
        <v>2</v>
      </c>
      <c r="M12" s="8" t="str">
        <f t="shared" si="11"/>
        <v>REA</v>
      </c>
      <c r="N12" s="8" t="str">
        <f t="shared" si="12"/>
        <v>WOL</v>
      </c>
      <c r="O12" s="8" t="str">
        <f t="shared" si="13"/>
        <v>REA</v>
      </c>
      <c r="P12" s="8" t="str">
        <f t="shared" si="14"/>
        <v/>
      </c>
      <c r="Q12" s="8" t="str">
        <f t="shared" si="15"/>
        <v/>
      </c>
      <c r="R12" s="8" t="str">
        <f t="shared" si="16"/>
        <v>WOL</v>
      </c>
      <c r="S12" s="8" t="str">
        <f t="shared" si="17"/>
        <v>REA</v>
      </c>
      <c r="T12" s="8">
        <f t="shared" si="18"/>
        <v>3</v>
      </c>
      <c r="U12" s="8" t="str">
        <f t="shared" si="19"/>
        <v>WOL</v>
      </c>
      <c r="V12" s="8">
        <f t="shared" si="20"/>
        <v>2</v>
      </c>
      <c r="W12" s="8">
        <f t="shared" si="21"/>
        <v>3</v>
      </c>
    </row>
    <row r="13" spans="1:23" x14ac:dyDescent="0.25">
      <c r="A13" s="9">
        <v>3</v>
      </c>
      <c r="B13" s="19" t="str">
        <f>VLOOKUP($A13, Equipes!$A$3:$B$16, 2, FALSE)</f>
        <v>BOR</v>
      </c>
      <c r="C13" s="18">
        <v>2</v>
      </c>
      <c r="D13" s="20" t="s">
        <v>19</v>
      </c>
      <c r="E13" s="18">
        <v>2</v>
      </c>
      <c r="F13" s="21" t="str">
        <f>VLOOKUP($G13, Equipes!$A$3:$B$16, 2, FALSE)</f>
        <v>NAP</v>
      </c>
      <c r="G13" s="22">
        <v>4</v>
      </c>
      <c r="H13" s="19">
        <v>1</v>
      </c>
      <c r="I13" s="19" t="s">
        <v>20</v>
      </c>
      <c r="J13" s="19">
        <v>2</v>
      </c>
      <c r="K13" s="19"/>
      <c r="M13" s="8" t="str">
        <f t="shared" si="11"/>
        <v>BOR</v>
      </c>
      <c r="N13" s="8" t="str">
        <f t="shared" si="12"/>
        <v>NAP</v>
      </c>
      <c r="O13" s="8" t="str">
        <f t="shared" si="13"/>
        <v/>
      </c>
      <c r="P13" s="8" t="str">
        <f t="shared" si="14"/>
        <v>BOR</v>
      </c>
      <c r="Q13" s="8" t="str">
        <f t="shared" si="15"/>
        <v>NAP</v>
      </c>
      <c r="R13" s="8" t="str">
        <f t="shared" si="16"/>
        <v/>
      </c>
      <c r="S13" s="8" t="str">
        <f t="shared" si="17"/>
        <v>BOR</v>
      </c>
      <c r="T13" s="8">
        <f t="shared" si="18"/>
        <v>2</v>
      </c>
      <c r="U13" s="8" t="str">
        <f t="shared" si="19"/>
        <v>NAP</v>
      </c>
      <c r="V13" s="8">
        <f t="shared" si="20"/>
        <v>2</v>
      </c>
      <c r="W13" s="8">
        <f t="shared" si="21"/>
        <v>2</v>
      </c>
    </row>
    <row r="14" spans="1:23" x14ac:dyDescent="0.25">
      <c r="A14" s="9">
        <v>8</v>
      </c>
      <c r="B14" s="8" t="str">
        <f>VLOOKUP($A14, Equipes!$A$3:$B$16, 2, FALSE)</f>
        <v>MIL</v>
      </c>
      <c r="C14" s="18">
        <v>0</v>
      </c>
      <c r="D14" s="10" t="s">
        <v>19</v>
      </c>
      <c r="E14" s="18">
        <v>0</v>
      </c>
      <c r="F14" s="11" t="str">
        <f>VLOOKUP($G14, Equipes!$A$3:$B$16, 2, FALSE)</f>
        <v>POR</v>
      </c>
      <c r="G14" s="9">
        <v>13</v>
      </c>
      <c r="H14" s="8">
        <v>4</v>
      </c>
      <c r="I14" s="8" t="s">
        <v>21</v>
      </c>
      <c r="J14" s="8">
        <v>2</v>
      </c>
      <c r="M14" s="8" t="str">
        <f t="shared" si="11"/>
        <v>MIL</v>
      </c>
      <c r="N14" s="8" t="str">
        <f t="shared" si="12"/>
        <v>POR</v>
      </c>
      <c r="O14" s="8" t="str">
        <f t="shared" si="13"/>
        <v/>
      </c>
      <c r="P14" s="8" t="str">
        <f t="shared" si="14"/>
        <v>MIL</v>
      </c>
      <c r="Q14" s="8" t="str">
        <f t="shared" si="15"/>
        <v>POR</v>
      </c>
      <c r="R14" s="8" t="str">
        <f t="shared" si="16"/>
        <v/>
      </c>
      <c r="S14" s="8" t="str">
        <f t="shared" si="17"/>
        <v>MIL</v>
      </c>
      <c r="T14" s="8">
        <f t="shared" si="18"/>
        <v>0</v>
      </c>
      <c r="U14" s="8" t="str">
        <f t="shared" si="19"/>
        <v>POR</v>
      </c>
      <c r="V14" s="8">
        <f t="shared" si="20"/>
        <v>0</v>
      </c>
      <c r="W14" s="8">
        <f t="shared" si="21"/>
        <v>0</v>
      </c>
    </row>
    <row r="15" spans="1:23" x14ac:dyDescent="0.25">
      <c r="A15" s="9">
        <v>12</v>
      </c>
      <c r="B15" s="19" t="str">
        <f>VLOOKUP($A15, Equipes!$A$3:$B$16, 2, FALSE)</f>
        <v>ROM</v>
      </c>
      <c r="C15" s="18">
        <v>3</v>
      </c>
      <c r="D15" s="20" t="s">
        <v>19</v>
      </c>
      <c r="E15" s="18">
        <v>4</v>
      </c>
      <c r="F15" s="21" t="str">
        <f>VLOOKUP($G15, Equipes!$A$3:$B$16, 2, FALSE)</f>
        <v>IMI</v>
      </c>
      <c r="G15" s="22">
        <v>14</v>
      </c>
      <c r="H15" s="19">
        <v>6</v>
      </c>
      <c r="I15" s="19" t="s">
        <v>21</v>
      </c>
      <c r="J15" s="19">
        <v>2</v>
      </c>
      <c r="K15" s="19"/>
      <c r="M15" s="8" t="str">
        <f t="shared" si="11"/>
        <v>ROM</v>
      </c>
      <c r="N15" s="8" t="str">
        <f t="shared" si="12"/>
        <v>IMI</v>
      </c>
      <c r="O15" s="8" t="str">
        <f t="shared" si="13"/>
        <v>IMI</v>
      </c>
      <c r="P15" s="8" t="str">
        <f t="shared" si="14"/>
        <v/>
      </c>
      <c r="Q15" s="8" t="str">
        <f t="shared" si="15"/>
        <v/>
      </c>
      <c r="R15" s="8" t="str">
        <f t="shared" si="16"/>
        <v>ROM</v>
      </c>
      <c r="S15" s="8" t="str">
        <f t="shared" si="17"/>
        <v>ROM</v>
      </c>
      <c r="T15" s="8">
        <f t="shared" si="18"/>
        <v>3</v>
      </c>
      <c r="U15" s="8" t="str">
        <f t="shared" si="19"/>
        <v>IMI</v>
      </c>
      <c r="V15" s="8">
        <f t="shared" si="20"/>
        <v>4</v>
      </c>
      <c r="W15" s="8">
        <f t="shared" si="21"/>
        <v>3</v>
      </c>
    </row>
    <row r="16" spans="1:23" x14ac:dyDescent="0.25">
      <c r="A16" s="9">
        <v>10</v>
      </c>
      <c r="B16" s="8" t="str">
        <f>VLOOKUP($A16, Equipes!$A$3:$B$16, 2, FALSE)</f>
        <v>NEW</v>
      </c>
      <c r="C16" s="18">
        <v>1</v>
      </c>
      <c r="D16" s="10" t="s">
        <v>19</v>
      </c>
      <c r="E16" s="18">
        <v>2</v>
      </c>
      <c r="F16" s="11" t="str">
        <f>VLOOKUP($G16, Equipes!$A$3:$B$16, 2, FALSE)</f>
        <v>ESP</v>
      </c>
      <c r="G16" s="9">
        <v>11</v>
      </c>
      <c r="H16" s="8">
        <v>5</v>
      </c>
      <c r="I16" s="8" t="s">
        <v>21</v>
      </c>
      <c r="J16" s="8">
        <v>2</v>
      </c>
      <c r="M16" s="8" t="str">
        <f t="shared" si="11"/>
        <v>NEW</v>
      </c>
      <c r="N16" s="8" t="str">
        <f t="shared" si="12"/>
        <v>ESP</v>
      </c>
      <c r="O16" s="8" t="str">
        <f t="shared" si="13"/>
        <v>ESP</v>
      </c>
      <c r="P16" s="8" t="str">
        <f t="shared" si="14"/>
        <v/>
      </c>
      <c r="Q16" s="8" t="str">
        <f t="shared" si="15"/>
        <v/>
      </c>
      <c r="R16" s="8" t="str">
        <f t="shared" si="16"/>
        <v>NEW</v>
      </c>
      <c r="S16" s="8" t="str">
        <f t="shared" si="17"/>
        <v>NEW</v>
      </c>
      <c r="T16" s="8">
        <f t="shared" si="18"/>
        <v>1</v>
      </c>
      <c r="U16" s="8" t="str">
        <f t="shared" si="19"/>
        <v>ESP</v>
      </c>
      <c r="V16" s="8">
        <f t="shared" si="20"/>
        <v>2</v>
      </c>
      <c r="W16" s="8">
        <f t="shared" si="21"/>
        <v>1</v>
      </c>
    </row>
    <row r="17" spans="1:23" x14ac:dyDescent="0.25">
      <c r="B17" s="13" t="s">
        <v>23</v>
      </c>
      <c r="C17" s="14"/>
      <c r="D17" s="14"/>
      <c r="E17" s="14"/>
      <c r="F17" s="15"/>
      <c r="G17" s="16"/>
      <c r="H17" s="13" t="s">
        <v>8</v>
      </c>
      <c r="I17" s="13" t="s">
        <v>9</v>
      </c>
      <c r="J17" s="13" t="s">
        <v>10</v>
      </c>
      <c r="K17" s="17">
        <f>K3 + TIME(0,40,0)</f>
        <v>45692.829861111117</v>
      </c>
      <c r="M17" s="12" t="s">
        <v>11</v>
      </c>
      <c r="N17" s="12" t="s">
        <v>11</v>
      </c>
      <c r="O17" s="12" t="s">
        <v>12</v>
      </c>
      <c r="P17" s="12" t="s">
        <v>13</v>
      </c>
      <c r="Q17" s="12" t="s">
        <v>13</v>
      </c>
      <c r="R17" s="12" t="s">
        <v>14</v>
      </c>
      <c r="S17" s="12" t="s">
        <v>15</v>
      </c>
      <c r="T17" s="12" t="s">
        <v>16</v>
      </c>
      <c r="U17" s="12" t="s">
        <v>12</v>
      </c>
      <c r="V17" s="12" t="s">
        <v>17</v>
      </c>
      <c r="W17" s="12" t="s">
        <v>18</v>
      </c>
    </row>
    <row r="18" spans="1:23" x14ac:dyDescent="0.25">
      <c r="A18" s="9">
        <v>1</v>
      </c>
      <c r="B18" s="8" t="str">
        <f>VLOOKUP($A18, Equipes!$A$3:$B$16, 2, FALSE)</f>
        <v>PSG</v>
      </c>
      <c r="C18" s="18">
        <v>2</v>
      </c>
      <c r="D18" s="10" t="s">
        <v>19</v>
      </c>
      <c r="E18" s="18">
        <v>1</v>
      </c>
      <c r="F18" s="11" t="str">
        <f>VLOOKUP($G18, Equipes!$A$3:$B$16, 2, FALSE)</f>
        <v>WOL</v>
      </c>
      <c r="G18" s="9">
        <v>7</v>
      </c>
      <c r="H18" s="8">
        <v>3</v>
      </c>
      <c r="I18" s="8" t="s">
        <v>20</v>
      </c>
      <c r="J18" s="8">
        <v>3</v>
      </c>
      <c r="M18" s="8" t="str">
        <f t="shared" ref="M18:M23" si="22">IF(OR(C18 = "",E18 = ""), "", B18)</f>
        <v>PSG</v>
      </c>
      <c r="N18" s="8" t="str">
        <f t="shared" ref="N18:N23" si="23">IF(OR(C18 = "",E18 = ""), "", F18)</f>
        <v>WOL</v>
      </c>
      <c r="O18" s="8" t="str">
        <f t="shared" ref="O18:O23" si="24">IF(C18&gt;E18,B18, IF(E18&gt;C18,F18, ""))</f>
        <v>PSG</v>
      </c>
      <c r="P18" s="8" t="str">
        <f t="shared" ref="P18:P23" si="25">IF(OR(C18 = "",E18 = ""), "", IF(C18=E18,B18, ""))</f>
        <v/>
      </c>
      <c r="Q18" s="8" t="str">
        <f t="shared" ref="Q18:Q23" si="26">IF(OR(C18 = "",E18 = ""), "", IF(C18=E18,F18, ""))</f>
        <v/>
      </c>
      <c r="R18" s="8" t="str">
        <f t="shared" ref="R18:R23" si="27">IF(C18&gt;E18,F18, IF(E18&gt;C18,B18, ""))</f>
        <v>WOL</v>
      </c>
      <c r="S18" s="8" t="str">
        <f t="shared" ref="S18:S23" si="28">IF(OR(C18 = "",E18 = ""), "", B18)</f>
        <v>PSG</v>
      </c>
      <c r="T18" s="8">
        <f t="shared" ref="T18:T23" si="29">IF(C18 = "", "", C18)</f>
        <v>2</v>
      </c>
      <c r="U18" s="8" t="str">
        <f t="shared" ref="U18:U23" si="30">IF(OR(C18 = "",E18 = ""), "", F18)</f>
        <v>WOL</v>
      </c>
      <c r="V18" s="8">
        <f t="shared" ref="V18:V23" si="31">IF(E18 = "", "", E18)</f>
        <v>1</v>
      </c>
      <c r="W18" s="8">
        <f t="shared" ref="W18:W23" si="32">IF(C18 = "", "", C18)</f>
        <v>2</v>
      </c>
    </row>
    <row r="19" spans="1:23" x14ac:dyDescent="0.25">
      <c r="A19" s="9">
        <v>5</v>
      </c>
      <c r="B19" s="19" t="str">
        <f>VLOOKUP($A19, Equipes!$A$3:$B$16, 2, FALSE)</f>
        <v>REA</v>
      </c>
      <c r="C19" s="18">
        <v>2</v>
      </c>
      <c r="D19" s="20" t="s">
        <v>19</v>
      </c>
      <c r="E19" s="18">
        <v>2</v>
      </c>
      <c r="F19" s="21" t="str">
        <f>VLOOKUP($G19, Equipes!$A$3:$B$16, 2, FALSE)</f>
        <v>NAP</v>
      </c>
      <c r="G19" s="22">
        <v>4</v>
      </c>
      <c r="H19" s="19">
        <v>5</v>
      </c>
      <c r="I19" s="19" t="s">
        <v>20</v>
      </c>
      <c r="J19" s="19">
        <v>3</v>
      </c>
      <c r="K19" s="19"/>
      <c r="M19" s="8" t="str">
        <f t="shared" si="22"/>
        <v>REA</v>
      </c>
      <c r="N19" s="8" t="str">
        <f t="shared" si="23"/>
        <v>NAP</v>
      </c>
      <c r="O19" s="8" t="str">
        <f t="shared" si="24"/>
        <v/>
      </c>
      <c r="P19" s="8" t="str">
        <f t="shared" si="25"/>
        <v>REA</v>
      </c>
      <c r="Q19" s="8" t="str">
        <f t="shared" si="26"/>
        <v>NAP</v>
      </c>
      <c r="R19" s="8" t="str">
        <f t="shared" si="27"/>
        <v/>
      </c>
      <c r="S19" s="8" t="str">
        <f t="shared" si="28"/>
        <v>REA</v>
      </c>
      <c r="T19" s="8">
        <f t="shared" si="29"/>
        <v>2</v>
      </c>
      <c r="U19" s="8" t="str">
        <f t="shared" si="30"/>
        <v>NAP</v>
      </c>
      <c r="V19" s="8">
        <f t="shared" si="31"/>
        <v>2</v>
      </c>
      <c r="W19" s="8">
        <f t="shared" si="32"/>
        <v>2</v>
      </c>
    </row>
    <row r="20" spans="1:23" x14ac:dyDescent="0.25">
      <c r="A20" s="9">
        <v>2</v>
      </c>
      <c r="B20" s="8" t="str">
        <f>VLOOKUP($A20, Equipes!$A$3:$B$16, 2, FALSE)</f>
        <v>JUV</v>
      </c>
      <c r="C20" s="18">
        <v>1</v>
      </c>
      <c r="D20" s="10" t="s">
        <v>19</v>
      </c>
      <c r="E20" s="18">
        <v>1</v>
      </c>
      <c r="F20" s="11" t="str">
        <f>VLOOKUP($G20, Equipes!$A$3:$B$16, 2, FALSE)</f>
        <v>BOR</v>
      </c>
      <c r="G20" s="9">
        <v>3</v>
      </c>
      <c r="H20" s="8">
        <v>2</v>
      </c>
      <c r="I20" s="8" t="s">
        <v>20</v>
      </c>
      <c r="J20" s="8">
        <v>3</v>
      </c>
      <c r="M20" s="8" t="str">
        <f t="shared" si="22"/>
        <v>JUV</v>
      </c>
      <c r="N20" s="8" t="str">
        <f t="shared" si="23"/>
        <v>BOR</v>
      </c>
      <c r="O20" s="8" t="str">
        <f t="shared" si="24"/>
        <v/>
      </c>
      <c r="P20" s="8" t="str">
        <f t="shared" si="25"/>
        <v>JUV</v>
      </c>
      <c r="Q20" s="8" t="str">
        <f t="shared" si="26"/>
        <v>BOR</v>
      </c>
      <c r="R20" s="8" t="str">
        <f t="shared" si="27"/>
        <v/>
      </c>
      <c r="S20" s="8" t="str">
        <f t="shared" si="28"/>
        <v>JUV</v>
      </c>
      <c r="T20" s="8">
        <f t="shared" si="29"/>
        <v>1</v>
      </c>
      <c r="U20" s="8" t="str">
        <f t="shared" si="30"/>
        <v>BOR</v>
      </c>
      <c r="V20" s="8">
        <f t="shared" si="31"/>
        <v>1</v>
      </c>
      <c r="W20" s="8">
        <f t="shared" si="32"/>
        <v>1</v>
      </c>
    </row>
    <row r="21" spans="1:23" x14ac:dyDescent="0.25">
      <c r="A21" s="9">
        <v>8</v>
      </c>
      <c r="B21" s="19" t="str">
        <f>VLOOKUP($A21, Equipes!$A$3:$B$16, 2, FALSE)</f>
        <v>MIL</v>
      </c>
      <c r="C21" s="18">
        <v>1</v>
      </c>
      <c r="D21" s="20" t="s">
        <v>19</v>
      </c>
      <c r="E21" s="18">
        <v>4</v>
      </c>
      <c r="F21" s="21" t="str">
        <f>VLOOKUP($G21, Equipes!$A$3:$B$16, 2, FALSE)</f>
        <v>IMI</v>
      </c>
      <c r="G21" s="22">
        <v>14</v>
      </c>
      <c r="H21" s="19">
        <v>4</v>
      </c>
      <c r="I21" s="19" t="s">
        <v>21</v>
      </c>
      <c r="J21" s="19">
        <v>3</v>
      </c>
      <c r="K21" s="19"/>
      <c r="M21" s="8" t="str">
        <f t="shared" si="22"/>
        <v>MIL</v>
      </c>
      <c r="N21" s="8" t="str">
        <f t="shared" si="23"/>
        <v>IMI</v>
      </c>
      <c r="O21" s="8" t="str">
        <f t="shared" si="24"/>
        <v>IMI</v>
      </c>
      <c r="P21" s="8" t="str">
        <f t="shared" si="25"/>
        <v/>
      </c>
      <c r="Q21" s="8" t="str">
        <f t="shared" si="26"/>
        <v/>
      </c>
      <c r="R21" s="8" t="str">
        <f t="shared" si="27"/>
        <v>MIL</v>
      </c>
      <c r="S21" s="8" t="str">
        <f t="shared" si="28"/>
        <v>MIL</v>
      </c>
      <c r="T21" s="8">
        <f t="shared" si="29"/>
        <v>1</v>
      </c>
      <c r="U21" s="8" t="str">
        <f t="shared" si="30"/>
        <v>IMI</v>
      </c>
      <c r="V21" s="8">
        <f t="shared" si="31"/>
        <v>4</v>
      </c>
      <c r="W21" s="8">
        <f t="shared" si="32"/>
        <v>1</v>
      </c>
    </row>
    <row r="22" spans="1:23" x14ac:dyDescent="0.25">
      <c r="A22" s="9">
        <v>12</v>
      </c>
      <c r="B22" s="8" t="str">
        <f>VLOOKUP($A22, Equipes!$A$3:$B$16, 2, FALSE)</f>
        <v>ROM</v>
      </c>
      <c r="C22" s="18">
        <v>6</v>
      </c>
      <c r="D22" s="10" t="s">
        <v>19</v>
      </c>
      <c r="E22" s="18">
        <v>3</v>
      </c>
      <c r="F22" s="11" t="str">
        <f>VLOOKUP($G22, Equipes!$A$3:$B$16, 2, FALSE)</f>
        <v>ESP</v>
      </c>
      <c r="G22" s="9">
        <v>11</v>
      </c>
      <c r="H22" s="8">
        <v>1</v>
      </c>
      <c r="I22" s="8" t="s">
        <v>21</v>
      </c>
      <c r="J22" s="8">
        <v>3</v>
      </c>
      <c r="M22" s="8" t="str">
        <f t="shared" si="22"/>
        <v>ROM</v>
      </c>
      <c r="N22" s="8" t="str">
        <f t="shared" si="23"/>
        <v>ESP</v>
      </c>
      <c r="O22" s="8" t="str">
        <f t="shared" si="24"/>
        <v>ROM</v>
      </c>
      <c r="P22" s="8" t="str">
        <f t="shared" si="25"/>
        <v/>
      </c>
      <c r="Q22" s="8" t="str">
        <f t="shared" si="26"/>
        <v/>
      </c>
      <c r="R22" s="8" t="str">
        <f t="shared" si="27"/>
        <v>ESP</v>
      </c>
      <c r="S22" s="8" t="str">
        <f t="shared" si="28"/>
        <v>ROM</v>
      </c>
      <c r="T22" s="8">
        <f t="shared" si="29"/>
        <v>6</v>
      </c>
      <c r="U22" s="8" t="str">
        <f t="shared" si="30"/>
        <v>ESP</v>
      </c>
      <c r="V22" s="8">
        <f t="shared" si="31"/>
        <v>3</v>
      </c>
      <c r="W22" s="8">
        <f t="shared" si="32"/>
        <v>6</v>
      </c>
    </row>
    <row r="23" spans="1:23" x14ac:dyDescent="0.25">
      <c r="A23" s="9">
        <v>9</v>
      </c>
      <c r="B23" s="19" t="str">
        <f>VLOOKUP($A23, Equipes!$A$3:$B$16, 2, FALSE)</f>
        <v>BAY</v>
      </c>
      <c r="C23" s="18">
        <v>4</v>
      </c>
      <c r="D23" s="20" t="s">
        <v>19</v>
      </c>
      <c r="E23" s="18">
        <v>0</v>
      </c>
      <c r="F23" s="21" t="str">
        <f>VLOOKUP($G23, Equipes!$A$3:$B$16, 2, FALSE)</f>
        <v>NEW</v>
      </c>
      <c r="G23" s="22">
        <v>10</v>
      </c>
      <c r="H23" s="19">
        <v>6</v>
      </c>
      <c r="I23" s="19" t="s">
        <v>21</v>
      </c>
      <c r="J23" s="19">
        <v>3</v>
      </c>
      <c r="K23" s="19"/>
      <c r="M23" s="8" t="str">
        <f t="shared" si="22"/>
        <v>BAY</v>
      </c>
      <c r="N23" s="8" t="str">
        <f t="shared" si="23"/>
        <v>NEW</v>
      </c>
      <c r="O23" s="8" t="str">
        <f t="shared" si="24"/>
        <v>BAY</v>
      </c>
      <c r="P23" s="8" t="str">
        <f t="shared" si="25"/>
        <v/>
      </c>
      <c r="Q23" s="8" t="str">
        <f t="shared" si="26"/>
        <v/>
      </c>
      <c r="R23" s="8" t="str">
        <f t="shared" si="27"/>
        <v>NEW</v>
      </c>
      <c r="S23" s="8" t="str">
        <f t="shared" si="28"/>
        <v>BAY</v>
      </c>
      <c r="T23" s="8">
        <f t="shared" si="29"/>
        <v>4</v>
      </c>
      <c r="U23" s="8" t="str">
        <f t="shared" si="30"/>
        <v>NEW</v>
      </c>
      <c r="V23" s="8">
        <f t="shared" si="31"/>
        <v>0</v>
      </c>
      <c r="W23" s="8">
        <f t="shared" si="32"/>
        <v>4</v>
      </c>
    </row>
    <row r="24" spans="1:23" x14ac:dyDescent="0.25">
      <c r="B24" s="13" t="s">
        <v>24</v>
      </c>
      <c r="C24" s="14"/>
      <c r="D24" s="14"/>
      <c r="E24" s="14"/>
      <c r="F24" s="15"/>
      <c r="G24" s="16"/>
      <c r="H24" s="13" t="s">
        <v>8</v>
      </c>
      <c r="I24" s="13" t="s">
        <v>9</v>
      </c>
      <c r="J24" s="13" t="s">
        <v>10</v>
      </c>
      <c r="K24" s="17">
        <f>K3 + TIME(0,60,0)</f>
        <v>45692.84375</v>
      </c>
      <c r="M24" s="12" t="s">
        <v>11</v>
      </c>
      <c r="N24" s="12" t="s">
        <v>11</v>
      </c>
      <c r="O24" s="12" t="s">
        <v>12</v>
      </c>
      <c r="P24" s="12" t="s">
        <v>13</v>
      </c>
      <c r="Q24" s="12" t="s">
        <v>13</v>
      </c>
      <c r="R24" s="12" t="s">
        <v>14</v>
      </c>
      <c r="S24" s="12" t="s">
        <v>15</v>
      </c>
      <c r="T24" s="12" t="s">
        <v>16</v>
      </c>
      <c r="U24" s="12" t="s">
        <v>12</v>
      </c>
      <c r="V24" s="12" t="s">
        <v>17</v>
      </c>
      <c r="W24" s="12" t="s">
        <v>18</v>
      </c>
    </row>
    <row r="25" spans="1:23" x14ac:dyDescent="0.25">
      <c r="A25" s="9">
        <v>7</v>
      </c>
      <c r="B25" s="19" t="str">
        <f>VLOOKUP($A25, Equipes!$A$3:$B$16, 2, FALSE)</f>
        <v>WOL</v>
      </c>
      <c r="C25" s="18">
        <v>2</v>
      </c>
      <c r="D25" s="20" t="s">
        <v>19</v>
      </c>
      <c r="E25" s="18">
        <v>1</v>
      </c>
      <c r="F25" s="21" t="str">
        <f>VLOOKUP($G25, Equipes!$A$3:$B$16, 2, FALSE)</f>
        <v>NAP</v>
      </c>
      <c r="G25" s="22">
        <v>4</v>
      </c>
      <c r="H25" s="19">
        <v>4</v>
      </c>
      <c r="I25" s="19" t="s">
        <v>20</v>
      </c>
      <c r="J25" s="19">
        <v>4</v>
      </c>
      <c r="K25" s="19"/>
      <c r="M25" s="8" t="str">
        <f t="shared" ref="M25:M30" si="33">IF(OR(C25 = "",E25 = ""), "", B25)</f>
        <v>WOL</v>
      </c>
      <c r="N25" s="8" t="str">
        <f t="shared" ref="N25:N30" si="34">IF(OR(C25 = "",E25 = ""), "", F25)</f>
        <v>NAP</v>
      </c>
      <c r="O25" s="8" t="str">
        <f t="shared" ref="O25:O30" si="35">IF(C25&gt;E25,B25, IF(E25&gt;C25,F25, ""))</f>
        <v>WOL</v>
      </c>
      <c r="P25" s="8" t="str">
        <f t="shared" ref="P25:P30" si="36">IF(OR(C25 = "",E25 = ""), "", IF(C25=E25,B25, ""))</f>
        <v/>
      </c>
      <c r="Q25" s="8" t="str">
        <f t="shared" ref="Q25:Q30" si="37">IF(OR(C25 = "",E25 = ""), "", IF(C25=E25,F25, ""))</f>
        <v/>
      </c>
      <c r="R25" s="8" t="str">
        <f t="shared" ref="R25:R30" si="38">IF(C25&gt;E25,F25, IF(E25&gt;C25,B25, ""))</f>
        <v>NAP</v>
      </c>
      <c r="S25" s="8" t="str">
        <f t="shared" ref="S25:S30" si="39">IF(OR(C25 = "",E25 = ""), "", B25)</f>
        <v>WOL</v>
      </c>
      <c r="T25" s="8">
        <f t="shared" ref="T25:T30" si="40">IF(C25 = "", "", C25)</f>
        <v>2</v>
      </c>
      <c r="U25" s="8" t="str">
        <f t="shared" ref="U25:U30" si="41">IF(OR(C25 = "",E25 = ""), "", F25)</f>
        <v>NAP</v>
      </c>
      <c r="V25" s="8">
        <f t="shared" ref="V25:V30" si="42">IF(E25 = "", "", E25)</f>
        <v>1</v>
      </c>
      <c r="W25" s="8">
        <f t="shared" ref="W25:W30" si="43">IF(C25 = "", "", C25)</f>
        <v>2</v>
      </c>
    </row>
    <row r="26" spans="1:23" x14ac:dyDescent="0.25">
      <c r="A26" s="9">
        <v>6</v>
      </c>
      <c r="B26" s="8" t="str">
        <f>VLOOKUP($A26, Equipes!$A$3:$B$16, 2, FALSE)</f>
        <v>BAR</v>
      </c>
      <c r="C26" s="18">
        <v>2</v>
      </c>
      <c r="D26" s="10" t="s">
        <v>19</v>
      </c>
      <c r="E26" s="18">
        <v>2</v>
      </c>
      <c r="F26" s="11" t="str">
        <f>VLOOKUP($G26, Equipes!$A$3:$B$16, 2, FALSE)</f>
        <v>BOR</v>
      </c>
      <c r="G26" s="9">
        <v>3</v>
      </c>
      <c r="H26" s="8">
        <v>5</v>
      </c>
      <c r="I26" s="8" t="s">
        <v>20</v>
      </c>
      <c r="J26" s="8">
        <v>4</v>
      </c>
      <c r="M26" s="8" t="str">
        <f t="shared" si="33"/>
        <v>BAR</v>
      </c>
      <c r="N26" s="8" t="str">
        <f t="shared" si="34"/>
        <v>BOR</v>
      </c>
      <c r="O26" s="8" t="str">
        <f t="shared" si="35"/>
        <v/>
      </c>
      <c r="P26" s="8" t="str">
        <f t="shared" si="36"/>
        <v>BAR</v>
      </c>
      <c r="Q26" s="8" t="str">
        <f t="shared" si="37"/>
        <v>BOR</v>
      </c>
      <c r="R26" s="8" t="str">
        <f t="shared" si="38"/>
        <v/>
      </c>
      <c r="S26" s="8" t="str">
        <f t="shared" si="39"/>
        <v>BAR</v>
      </c>
      <c r="T26" s="8">
        <f t="shared" si="40"/>
        <v>2</v>
      </c>
      <c r="U26" s="8" t="str">
        <f t="shared" si="41"/>
        <v>BOR</v>
      </c>
      <c r="V26" s="8">
        <f t="shared" si="42"/>
        <v>2</v>
      </c>
      <c r="W26" s="8">
        <f t="shared" si="43"/>
        <v>2</v>
      </c>
    </row>
    <row r="27" spans="1:23" x14ac:dyDescent="0.25">
      <c r="A27" s="9">
        <v>5</v>
      </c>
      <c r="B27" s="19" t="str">
        <f>VLOOKUP($A27, Equipes!$A$3:$B$16, 2, FALSE)</f>
        <v>REA</v>
      </c>
      <c r="C27" s="18">
        <v>2</v>
      </c>
      <c r="D27" s="20" t="s">
        <v>19</v>
      </c>
      <c r="E27" s="18">
        <v>2</v>
      </c>
      <c r="F27" s="21" t="str">
        <f>VLOOKUP($G27, Equipes!$A$3:$B$16, 2, FALSE)</f>
        <v>JUV</v>
      </c>
      <c r="G27" s="22">
        <v>2</v>
      </c>
      <c r="H27" s="19">
        <v>2</v>
      </c>
      <c r="I27" s="19" t="s">
        <v>20</v>
      </c>
      <c r="J27" s="19">
        <v>4</v>
      </c>
      <c r="K27" s="19"/>
      <c r="M27" s="8" t="str">
        <f t="shared" si="33"/>
        <v>REA</v>
      </c>
      <c r="N27" s="8" t="str">
        <f t="shared" si="34"/>
        <v>JUV</v>
      </c>
      <c r="O27" s="8" t="str">
        <f t="shared" si="35"/>
        <v/>
      </c>
      <c r="P27" s="8" t="str">
        <f t="shared" si="36"/>
        <v>REA</v>
      </c>
      <c r="Q27" s="8" t="str">
        <f t="shared" si="37"/>
        <v>JUV</v>
      </c>
      <c r="R27" s="8" t="str">
        <f t="shared" si="38"/>
        <v/>
      </c>
      <c r="S27" s="8" t="str">
        <f t="shared" si="39"/>
        <v>REA</v>
      </c>
      <c r="T27" s="8">
        <f t="shared" si="40"/>
        <v>2</v>
      </c>
      <c r="U27" s="8" t="str">
        <f t="shared" si="41"/>
        <v>JUV</v>
      </c>
      <c r="V27" s="8">
        <f t="shared" si="42"/>
        <v>2</v>
      </c>
      <c r="W27" s="8">
        <f t="shared" si="43"/>
        <v>2</v>
      </c>
    </row>
    <row r="28" spans="1:23" x14ac:dyDescent="0.25">
      <c r="A28" s="9">
        <v>14</v>
      </c>
      <c r="B28" s="8" t="str">
        <f>VLOOKUP($A28, Equipes!$A$3:$B$16, 2, FALSE)</f>
        <v>IMI</v>
      </c>
      <c r="C28" s="18">
        <v>2</v>
      </c>
      <c r="D28" s="10" t="s">
        <v>19</v>
      </c>
      <c r="E28" s="18">
        <v>1</v>
      </c>
      <c r="F28" s="11" t="str">
        <f>VLOOKUP($G28, Equipes!$A$3:$B$16, 2, FALSE)</f>
        <v>ESP</v>
      </c>
      <c r="G28" s="9">
        <v>11</v>
      </c>
      <c r="H28" s="8">
        <v>1</v>
      </c>
      <c r="I28" s="8" t="s">
        <v>21</v>
      </c>
      <c r="J28" s="8">
        <v>4</v>
      </c>
      <c r="M28" s="8" t="str">
        <f t="shared" si="33"/>
        <v>IMI</v>
      </c>
      <c r="N28" s="8" t="str">
        <f t="shared" si="34"/>
        <v>ESP</v>
      </c>
      <c r="O28" s="8" t="str">
        <f t="shared" si="35"/>
        <v>IMI</v>
      </c>
      <c r="P28" s="8" t="str">
        <f t="shared" si="36"/>
        <v/>
      </c>
      <c r="Q28" s="8" t="str">
        <f t="shared" si="37"/>
        <v/>
      </c>
      <c r="R28" s="8" t="str">
        <f t="shared" si="38"/>
        <v>ESP</v>
      </c>
      <c r="S28" s="8" t="str">
        <f t="shared" si="39"/>
        <v>IMI</v>
      </c>
      <c r="T28" s="8">
        <f t="shared" si="40"/>
        <v>2</v>
      </c>
      <c r="U28" s="8" t="str">
        <f t="shared" si="41"/>
        <v>ESP</v>
      </c>
      <c r="V28" s="8">
        <f t="shared" si="42"/>
        <v>1</v>
      </c>
      <c r="W28" s="8">
        <f t="shared" si="43"/>
        <v>2</v>
      </c>
    </row>
    <row r="29" spans="1:23" x14ac:dyDescent="0.25">
      <c r="A29" s="9">
        <v>13</v>
      </c>
      <c r="B29" s="19" t="str">
        <f>VLOOKUP($A29, Equipes!$A$3:$B$16, 2, FALSE)</f>
        <v>POR</v>
      </c>
      <c r="C29" s="18">
        <v>0</v>
      </c>
      <c r="D29" s="20" t="s">
        <v>19</v>
      </c>
      <c r="E29" s="18">
        <v>0</v>
      </c>
      <c r="F29" s="21" t="str">
        <f>VLOOKUP($G29, Equipes!$A$3:$B$16, 2, FALSE)</f>
        <v>NEW</v>
      </c>
      <c r="G29" s="22">
        <v>10</v>
      </c>
      <c r="H29" s="19">
        <v>3</v>
      </c>
      <c r="I29" s="19" t="s">
        <v>21</v>
      </c>
      <c r="J29" s="19">
        <v>4</v>
      </c>
      <c r="K29" s="19"/>
      <c r="M29" s="8" t="str">
        <f t="shared" si="33"/>
        <v>POR</v>
      </c>
      <c r="N29" s="8" t="str">
        <f t="shared" si="34"/>
        <v>NEW</v>
      </c>
      <c r="O29" s="8" t="str">
        <f t="shared" si="35"/>
        <v/>
      </c>
      <c r="P29" s="8" t="str">
        <f t="shared" si="36"/>
        <v>POR</v>
      </c>
      <c r="Q29" s="8" t="str">
        <f t="shared" si="37"/>
        <v>NEW</v>
      </c>
      <c r="R29" s="8" t="str">
        <f t="shared" si="38"/>
        <v/>
      </c>
      <c r="S29" s="8" t="str">
        <f t="shared" si="39"/>
        <v>POR</v>
      </c>
      <c r="T29" s="8">
        <f t="shared" si="40"/>
        <v>0</v>
      </c>
      <c r="U29" s="8" t="str">
        <f t="shared" si="41"/>
        <v>NEW</v>
      </c>
      <c r="V29" s="8">
        <f t="shared" si="42"/>
        <v>0</v>
      </c>
      <c r="W29" s="8">
        <f t="shared" si="43"/>
        <v>0</v>
      </c>
    </row>
    <row r="30" spans="1:23" x14ac:dyDescent="0.25">
      <c r="A30" s="9">
        <v>12</v>
      </c>
      <c r="B30" s="8" t="str">
        <f>VLOOKUP($A30, Equipes!$A$3:$B$16, 2, FALSE)</f>
        <v>ROM</v>
      </c>
      <c r="C30" s="18">
        <v>5</v>
      </c>
      <c r="D30" s="10" t="s">
        <v>19</v>
      </c>
      <c r="E30" s="18">
        <v>2</v>
      </c>
      <c r="F30" s="11" t="str">
        <f>VLOOKUP($G30, Equipes!$A$3:$B$16, 2, FALSE)</f>
        <v>BAY</v>
      </c>
      <c r="G30" s="9">
        <v>9</v>
      </c>
      <c r="H30" s="8">
        <v>6</v>
      </c>
      <c r="I30" s="8" t="s">
        <v>21</v>
      </c>
      <c r="J30" s="8">
        <v>4</v>
      </c>
      <c r="M30" s="8" t="str">
        <f t="shared" si="33"/>
        <v>ROM</v>
      </c>
      <c r="N30" s="8" t="str">
        <f t="shared" si="34"/>
        <v>BAY</v>
      </c>
      <c r="O30" s="8" t="str">
        <f t="shared" si="35"/>
        <v>ROM</v>
      </c>
      <c r="P30" s="8" t="str">
        <f t="shared" si="36"/>
        <v/>
      </c>
      <c r="Q30" s="8" t="str">
        <f t="shared" si="37"/>
        <v/>
      </c>
      <c r="R30" s="8" t="str">
        <f t="shared" si="38"/>
        <v>BAY</v>
      </c>
      <c r="S30" s="8" t="str">
        <f t="shared" si="39"/>
        <v>ROM</v>
      </c>
      <c r="T30" s="8">
        <f t="shared" si="40"/>
        <v>5</v>
      </c>
      <c r="U30" s="8" t="str">
        <f t="shared" si="41"/>
        <v>BAY</v>
      </c>
      <c r="V30" s="8">
        <f t="shared" si="42"/>
        <v>2</v>
      </c>
      <c r="W30" s="8">
        <f t="shared" si="43"/>
        <v>5</v>
      </c>
    </row>
    <row r="31" spans="1:23" x14ac:dyDescent="0.25">
      <c r="B31" s="13" t="s">
        <v>25</v>
      </c>
      <c r="C31" s="14"/>
      <c r="D31" s="14"/>
      <c r="E31" s="14"/>
      <c r="F31" s="15"/>
      <c r="G31" s="16"/>
      <c r="H31" s="13" t="s">
        <v>8</v>
      </c>
      <c r="I31" s="13" t="s">
        <v>9</v>
      </c>
      <c r="J31" s="13" t="s">
        <v>10</v>
      </c>
      <c r="K31" s="17">
        <f>K3 + TIME(0,80,0)</f>
        <v>45692.857638888891</v>
      </c>
      <c r="M31" s="12" t="s">
        <v>11</v>
      </c>
      <c r="N31" s="12" t="s">
        <v>11</v>
      </c>
      <c r="O31" s="12" t="s">
        <v>12</v>
      </c>
      <c r="P31" s="12" t="s">
        <v>13</v>
      </c>
      <c r="Q31" s="12" t="s">
        <v>13</v>
      </c>
      <c r="R31" s="12" t="s">
        <v>14</v>
      </c>
      <c r="S31" s="12" t="s">
        <v>15</v>
      </c>
      <c r="T31" s="12" t="s">
        <v>16</v>
      </c>
      <c r="U31" s="12" t="s">
        <v>12</v>
      </c>
      <c r="V31" s="12" t="s">
        <v>17</v>
      </c>
      <c r="W31" s="12" t="s">
        <v>18</v>
      </c>
    </row>
    <row r="32" spans="1:23" x14ac:dyDescent="0.25">
      <c r="A32" s="9">
        <v>1</v>
      </c>
      <c r="B32" s="8" t="str">
        <f>VLOOKUP($A32, Equipes!$A$3:$B$16, 2, FALSE)</f>
        <v>PSG</v>
      </c>
      <c r="C32" s="18">
        <v>2</v>
      </c>
      <c r="D32" s="10" t="s">
        <v>19</v>
      </c>
      <c r="E32" s="18">
        <v>4</v>
      </c>
      <c r="F32" s="11" t="str">
        <f>VLOOKUP($G32, Equipes!$A$3:$B$16, 2, FALSE)</f>
        <v>NAP</v>
      </c>
      <c r="G32" s="9">
        <v>4</v>
      </c>
      <c r="H32" s="8">
        <v>6</v>
      </c>
      <c r="I32" s="8" t="s">
        <v>20</v>
      </c>
      <c r="J32" s="8">
        <v>5</v>
      </c>
      <c r="M32" s="8" t="str">
        <f t="shared" ref="M32:M37" si="44">IF(OR(C32 = "",E32 = ""), "", B32)</f>
        <v>PSG</v>
      </c>
      <c r="N32" s="8" t="str">
        <f t="shared" ref="N32:N37" si="45">IF(OR(C32 = "",E32 = ""), "", F32)</f>
        <v>NAP</v>
      </c>
      <c r="O32" s="8" t="str">
        <f t="shared" ref="O32:O37" si="46">IF(C32&gt;E32,B32, IF(E32&gt;C32,F32, ""))</f>
        <v>NAP</v>
      </c>
      <c r="P32" s="8" t="str">
        <f t="shared" ref="P32:P37" si="47">IF(OR(C32 = "",E32 = ""), "", IF(C32=E32,B32, ""))</f>
        <v/>
      </c>
      <c r="Q32" s="8" t="str">
        <f t="shared" ref="Q32:Q37" si="48">IF(OR(C32 = "",E32 = ""), "", IF(C32=E32,F32, ""))</f>
        <v/>
      </c>
      <c r="R32" s="8" t="str">
        <f t="shared" ref="R32:R37" si="49">IF(C32&gt;E32,F32, IF(E32&gt;C32,B32, ""))</f>
        <v>PSG</v>
      </c>
      <c r="S32" s="8" t="str">
        <f t="shared" ref="S32:S37" si="50">IF(OR(C32 = "",E32 = ""), "", B32)</f>
        <v>PSG</v>
      </c>
      <c r="T32" s="8">
        <f t="shared" ref="T32:T37" si="51">IF(C32 = "", "", C32)</f>
        <v>2</v>
      </c>
      <c r="U32" s="8" t="str">
        <f t="shared" ref="U32:U37" si="52">IF(OR(C32 = "",E32 = ""), "", F32)</f>
        <v>NAP</v>
      </c>
      <c r="V32" s="8">
        <f t="shared" ref="V32:V37" si="53">IF(E32 = "", "", E32)</f>
        <v>4</v>
      </c>
      <c r="W32" s="8">
        <f t="shared" ref="W32:W37" si="54">IF(C32 = "", "", C32)</f>
        <v>2</v>
      </c>
    </row>
    <row r="33" spans="1:23" x14ac:dyDescent="0.25">
      <c r="A33" s="9">
        <v>7</v>
      </c>
      <c r="B33" s="19" t="str">
        <f>VLOOKUP($A33, Equipes!$A$3:$B$16, 2, FALSE)</f>
        <v>WOL</v>
      </c>
      <c r="C33" s="18">
        <v>0</v>
      </c>
      <c r="D33" s="20" t="s">
        <v>19</v>
      </c>
      <c r="E33" s="18">
        <v>1</v>
      </c>
      <c r="F33" s="21" t="str">
        <f>VLOOKUP($G33, Equipes!$A$3:$B$16, 2, FALSE)</f>
        <v>JUV</v>
      </c>
      <c r="G33" s="22">
        <v>2</v>
      </c>
      <c r="H33" s="19">
        <v>3</v>
      </c>
      <c r="I33" s="19" t="s">
        <v>20</v>
      </c>
      <c r="J33" s="19">
        <v>5</v>
      </c>
      <c r="K33" s="19"/>
      <c r="M33" s="8" t="str">
        <f t="shared" si="44"/>
        <v>WOL</v>
      </c>
      <c r="N33" s="8" t="str">
        <f t="shared" si="45"/>
        <v>JUV</v>
      </c>
      <c r="O33" s="8" t="str">
        <f t="shared" si="46"/>
        <v>JUV</v>
      </c>
      <c r="P33" s="8" t="str">
        <f t="shared" si="47"/>
        <v/>
      </c>
      <c r="Q33" s="8" t="str">
        <f t="shared" si="48"/>
        <v/>
      </c>
      <c r="R33" s="8" t="str">
        <f t="shared" si="49"/>
        <v>WOL</v>
      </c>
      <c r="S33" s="8" t="str">
        <f t="shared" si="50"/>
        <v>WOL</v>
      </c>
      <c r="T33" s="8">
        <f t="shared" si="51"/>
        <v>0</v>
      </c>
      <c r="U33" s="8" t="str">
        <f t="shared" si="52"/>
        <v>JUV</v>
      </c>
      <c r="V33" s="8">
        <f t="shared" si="53"/>
        <v>1</v>
      </c>
      <c r="W33" s="8">
        <f t="shared" si="54"/>
        <v>0</v>
      </c>
    </row>
    <row r="34" spans="1:23" x14ac:dyDescent="0.25">
      <c r="A34" s="9">
        <v>6</v>
      </c>
      <c r="B34" s="8" t="str">
        <f>VLOOKUP($A34, Equipes!$A$3:$B$16, 2, FALSE)</f>
        <v>BAR</v>
      </c>
      <c r="C34" s="18">
        <v>4</v>
      </c>
      <c r="D34" s="10" t="s">
        <v>19</v>
      </c>
      <c r="E34" s="18">
        <v>3</v>
      </c>
      <c r="F34" s="11" t="str">
        <f>VLOOKUP($G34, Equipes!$A$3:$B$16, 2, FALSE)</f>
        <v>REA</v>
      </c>
      <c r="G34" s="9">
        <v>5</v>
      </c>
      <c r="H34" s="8">
        <v>4</v>
      </c>
      <c r="I34" s="8" t="s">
        <v>20</v>
      </c>
      <c r="J34" s="8">
        <v>5</v>
      </c>
      <c r="M34" s="8" t="str">
        <f t="shared" si="44"/>
        <v>BAR</v>
      </c>
      <c r="N34" s="8" t="str">
        <f t="shared" si="45"/>
        <v>REA</v>
      </c>
      <c r="O34" s="8" t="str">
        <f t="shared" si="46"/>
        <v>BAR</v>
      </c>
      <c r="P34" s="8" t="str">
        <f t="shared" si="47"/>
        <v/>
      </c>
      <c r="Q34" s="8" t="str">
        <f t="shared" si="48"/>
        <v/>
      </c>
      <c r="R34" s="8" t="str">
        <f t="shared" si="49"/>
        <v>REA</v>
      </c>
      <c r="S34" s="8" t="str">
        <f t="shared" si="50"/>
        <v>BAR</v>
      </c>
      <c r="T34" s="8">
        <f t="shared" si="51"/>
        <v>4</v>
      </c>
      <c r="U34" s="8" t="str">
        <f t="shared" si="52"/>
        <v>REA</v>
      </c>
      <c r="V34" s="8">
        <f t="shared" si="53"/>
        <v>3</v>
      </c>
      <c r="W34" s="8">
        <f t="shared" si="54"/>
        <v>4</v>
      </c>
    </row>
    <row r="35" spans="1:23" x14ac:dyDescent="0.25">
      <c r="A35" s="9">
        <v>8</v>
      </c>
      <c r="B35" s="19" t="str">
        <f>VLOOKUP($A35, Equipes!$A$3:$B$16, 2, FALSE)</f>
        <v>MIL</v>
      </c>
      <c r="C35" s="18">
        <v>1</v>
      </c>
      <c r="D35" s="20" t="s">
        <v>19</v>
      </c>
      <c r="E35" s="18">
        <v>0</v>
      </c>
      <c r="F35" s="21" t="str">
        <f>VLOOKUP($G35, Equipes!$A$3:$B$16, 2, FALSE)</f>
        <v>ESP</v>
      </c>
      <c r="G35" s="22">
        <v>11</v>
      </c>
      <c r="H35" s="19">
        <v>1</v>
      </c>
      <c r="I35" s="19" t="s">
        <v>21</v>
      </c>
      <c r="J35" s="19">
        <v>5</v>
      </c>
      <c r="K35" s="19"/>
      <c r="M35" s="8" t="str">
        <f t="shared" si="44"/>
        <v>MIL</v>
      </c>
      <c r="N35" s="8" t="str">
        <f t="shared" si="45"/>
        <v>ESP</v>
      </c>
      <c r="O35" s="8" t="str">
        <f t="shared" si="46"/>
        <v>MIL</v>
      </c>
      <c r="P35" s="8" t="str">
        <f t="shared" si="47"/>
        <v/>
      </c>
      <c r="Q35" s="8" t="str">
        <f t="shared" si="48"/>
        <v/>
      </c>
      <c r="R35" s="8" t="str">
        <f t="shared" si="49"/>
        <v>ESP</v>
      </c>
      <c r="S35" s="8" t="str">
        <f t="shared" si="50"/>
        <v>MIL</v>
      </c>
      <c r="T35" s="8">
        <f t="shared" si="51"/>
        <v>1</v>
      </c>
      <c r="U35" s="8" t="str">
        <f t="shared" si="52"/>
        <v>ESP</v>
      </c>
      <c r="V35" s="8">
        <f t="shared" si="53"/>
        <v>0</v>
      </c>
      <c r="W35" s="8">
        <f t="shared" si="54"/>
        <v>1</v>
      </c>
    </row>
    <row r="36" spans="1:23" x14ac:dyDescent="0.25">
      <c r="A36" s="9">
        <v>14</v>
      </c>
      <c r="B36" s="8" t="str">
        <f>VLOOKUP($A36, Equipes!$A$3:$B$16, 2, FALSE)</f>
        <v>IMI</v>
      </c>
      <c r="C36" s="18">
        <v>2</v>
      </c>
      <c r="D36" s="10" t="s">
        <v>19</v>
      </c>
      <c r="E36" s="18">
        <v>3</v>
      </c>
      <c r="F36" s="11" t="str">
        <f>VLOOKUP($G36, Equipes!$A$3:$B$16, 2, FALSE)</f>
        <v>BAY</v>
      </c>
      <c r="G36" s="9">
        <v>9</v>
      </c>
      <c r="H36" s="8">
        <v>2</v>
      </c>
      <c r="I36" s="8" t="s">
        <v>21</v>
      </c>
      <c r="J36" s="8">
        <v>5</v>
      </c>
      <c r="M36" s="8" t="str">
        <f t="shared" si="44"/>
        <v>IMI</v>
      </c>
      <c r="N36" s="8" t="str">
        <f t="shared" si="45"/>
        <v>BAY</v>
      </c>
      <c r="O36" s="8" t="str">
        <f t="shared" si="46"/>
        <v>BAY</v>
      </c>
      <c r="P36" s="8" t="str">
        <f t="shared" si="47"/>
        <v/>
      </c>
      <c r="Q36" s="8" t="str">
        <f t="shared" si="48"/>
        <v/>
      </c>
      <c r="R36" s="8" t="str">
        <f t="shared" si="49"/>
        <v>IMI</v>
      </c>
      <c r="S36" s="8" t="str">
        <f t="shared" si="50"/>
        <v>IMI</v>
      </c>
      <c r="T36" s="8">
        <f t="shared" si="51"/>
        <v>2</v>
      </c>
      <c r="U36" s="8" t="str">
        <f t="shared" si="52"/>
        <v>BAY</v>
      </c>
      <c r="V36" s="8">
        <f t="shared" si="53"/>
        <v>3</v>
      </c>
      <c r="W36" s="8">
        <f t="shared" si="54"/>
        <v>2</v>
      </c>
    </row>
    <row r="37" spans="1:23" x14ac:dyDescent="0.25">
      <c r="A37" s="9">
        <v>13</v>
      </c>
      <c r="B37" s="19" t="str">
        <f>VLOOKUP($A37, Equipes!$A$3:$B$16, 2, FALSE)</f>
        <v>POR</v>
      </c>
      <c r="C37" s="18">
        <v>1</v>
      </c>
      <c r="D37" s="20" t="s">
        <v>19</v>
      </c>
      <c r="E37" s="18">
        <v>3</v>
      </c>
      <c r="F37" s="21" t="str">
        <f>VLOOKUP($G37, Equipes!$A$3:$B$16, 2, FALSE)</f>
        <v>ROM</v>
      </c>
      <c r="G37" s="22">
        <v>12</v>
      </c>
      <c r="H37" s="19">
        <v>5</v>
      </c>
      <c r="I37" s="19" t="s">
        <v>21</v>
      </c>
      <c r="J37" s="19">
        <v>5</v>
      </c>
      <c r="K37" s="19"/>
      <c r="M37" s="8" t="str">
        <f t="shared" si="44"/>
        <v>POR</v>
      </c>
      <c r="N37" s="8" t="str">
        <f t="shared" si="45"/>
        <v>ROM</v>
      </c>
      <c r="O37" s="8" t="str">
        <f t="shared" si="46"/>
        <v>ROM</v>
      </c>
      <c r="P37" s="8" t="str">
        <f t="shared" si="47"/>
        <v/>
      </c>
      <c r="Q37" s="8" t="str">
        <f t="shared" si="48"/>
        <v/>
      </c>
      <c r="R37" s="8" t="str">
        <f t="shared" si="49"/>
        <v>POR</v>
      </c>
      <c r="S37" s="8" t="str">
        <f t="shared" si="50"/>
        <v>POR</v>
      </c>
      <c r="T37" s="8">
        <f t="shared" si="51"/>
        <v>1</v>
      </c>
      <c r="U37" s="8" t="str">
        <f t="shared" si="52"/>
        <v>ROM</v>
      </c>
      <c r="V37" s="8">
        <f t="shared" si="53"/>
        <v>3</v>
      </c>
      <c r="W37" s="8">
        <f t="shared" si="54"/>
        <v>1</v>
      </c>
    </row>
    <row r="38" spans="1:23" x14ac:dyDescent="0.25">
      <c r="B38" s="13" t="s">
        <v>26</v>
      </c>
      <c r="C38" s="14"/>
      <c r="D38" s="14"/>
      <c r="E38" s="14"/>
      <c r="F38" s="15"/>
      <c r="G38" s="16"/>
      <c r="H38" s="13" t="s">
        <v>8</v>
      </c>
      <c r="I38" s="13" t="s">
        <v>9</v>
      </c>
      <c r="J38" s="13" t="s">
        <v>10</v>
      </c>
      <c r="K38" s="17">
        <f>K3 + TIME(0,100,0)</f>
        <v>45692.871527777781</v>
      </c>
      <c r="M38" s="12" t="s">
        <v>11</v>
      </c>
      <c r="N38" s="12" t="s">
        <v>11</v>
      </c>
      <c r="O38" s="12" t="s">
        <v>12</v>
      </c>
      <c r="P38" s="12" t="s">
        <v>13</v>
      </c>
      <c r="Q38" s="12" t="s">
        <v>13</v>
      </c>
      <c r="R38" s="12" t="s">
        <v>14</v>
      </c>
      <c r="S38" s="12" t="s">
        <v>15</v>
      </c>
      <c r="T38" s="12" t="s">
        <v>16</v>
      </c>
      <c r="U38" s="12" t="s">
        <v>12</v>
      </c>
      <c r="V38" s="12" t="s">
        <v>17</v>
      </c>
      <c r="W38" s="12" t="s">
        <v>18</v>
      </c>
    </row>
    <row r="39" spans="1:23" x14ac:dyDescent="0.25">
      <c r="A39" s="9">
        <v>1</v>
      </c>
      <c r="B39" s="19" t="str">
        <f>VLOOKUP($A39, Equipes!$A$3:$B$16, 2, FALSE)</f>
        <v>PSG</v>
      </c>
      <c r="C39" s="18">
        <v>3</v>
      </c>
      <c r="D39" s="20" t="s">
        <v>19</v>
      </c>
      <c r="E39" s="18">
        <v>2</v>
      </c>
      <c r="F39" s="21" t="str">
        <f>VLOOKUP($G39, Equipes!$A$3:$B$16, 2, FALSE)</f>
        <v>BOR</v>
      </c>
      <c r="G39" s="22">
        <v>3</v>
      </c>
      <c r="H39" s="19">
        <v>3</v>
      </c>
      <c r="I39" s="19" t="s">
        <v>20</v>
      </c>
      <c r="J39" s="19">
        <v>6</v>
      </c>
      <c r="K39" s="19"/>
      <c r="M39" s="8" t="str">
        <f t="shared" ref="M39:M44" si="55">IF(OR(C39 = "",E39 = ""), "", B39)</f>
        <v>PSG</v>
      </c>
      <c r="N39" s="8" t="str">
        <f t="shared" ref="N39:N44" si="56">IF(OR(C39 = "",E39 = ""), "", F39)</f>
        <v>BOR</v>
      </c>
      <c r="O39" s="8" t="str">
        <f t="shared" ref="O39:O44" si="57">IF(C39&gt;E39,B39, IF(E39&gt;C39,F39, ""))</f>
        <v>PSG</v>
      </c>
      <c r="P39" s="8" t="str">
        <f t="shared" ref="P39:P44" si="58">IF(OR(C39 = "",E39 = ""), "", IF(C39=E39,B39, ""))</f>
        <v/>
      </c>
      <c r="Q39" s="8" t="str">
        <f t="shared" ref="Q39:Q44" si="59">IF(OR(C39 = "",E39 = ""), "", IF(C39=E39,F39, ""))</f>
        <v/>
      </c>
      <c r="R39" s="8" t="str">
        <f t="shared" ref="R39:R44" si="60">IF(C39&gt;E39,F39, IF(E39&gt;C39,B39, ""))</f>
        <v>BOR</v>
      </c>
      <c r="S39" s="8" t="str">
        <f t="shared" ref="S39:S44" si="61">IF(OR(C39 = "",E39 = ""), "", B39)</f>
        <v>PSG</v>
      </c>
      <c r="T39" s="8">
        <f t="shared" ref="T39:T44" si="62">IF(C39 = "", "", C39)</f>
        <v>3</v>
      </c>
      <c r="U39" s="8" t="str">
        <f t="shared" ref="U39:U44" si="63">IF(OR(C39 = "",E39 = ""), "", F39)</f>
        <v>BOR</v>
      </c>
      <c r="V39" s="8">
        <f t="shared" ref="V39:V44" si="64">IF(E39 = "", "", E39)</f>
        <v>2</v>
      </c>
      <c r="W39" s="8">
        <f t="shared" ref="W39:W44" si="65">IF(C39 = "", "", C39)</f>
        <v>3</v>
      </c>
    </row>
    <row r="40" spans="1:23" x14ac:dyDescent="0.25">
      <c r="A40" s="9">
        <v>4</v>
      </c>
      <c r="B40" s="8" t="str">
        <f>VLOOKUP($A40, Equipes!$A$3:$B$16, 2, FALSE)</f>
        <v>NAP</v>
      </c>
      <c r="C40" s="18">
        <v>1</v>
      </c>
      <c r="D40" s="10" t="s">
        <v>19</v>
      </c>
      <c r="E40" s="18">
        <v>2</v>
      </c>
      <c r="F40" s="11" t="str">
        <f>VLOOKUP($G40, Equipes!$A$3:$B$16, 2, FALSE)</f>
        <v>JUV</v>
      </c>
      <c r="G40" s="9">
        <v>2</v>
      </c>
      <c r="H40" s="8">
        <v>2</v>
      </c>
      <c r="I40" s="8" t="s">
        <v>20</v>
      </c>
      <c r="J40" s="8">
        <v>6</v>
      </c>
      <c r="M40" s="8" t="str">
        <f t="shared" si="55"/>
        <v>NAP</v>
      </c>
      <c r="N40" s="8" t="str">
        <f t="shared" si="56"/>
        <v>JUV</v>
      </c>
      <c r="O40" s="8" t="str">
        <f t="shared" si="57"/>
        <v>JUV</v>
      </c>
      <c r="P40" s="8" t="str">
        <f t="shared" si="58"/>
        <v/>
      </c>
      <c r="Q40" s="8" t="str">
        <f t="shared" si="59"/>
        <v/>
      </c>
      <c r="R40" s="8" t="str">
        <f t="shared" si="60"/>
        <v>NAP</v>
      </c>
      <c r="S40" s="8" t="str">
        <f t="shared" si="61"/>
        <v>NAP</v>
      </c>
      <c r="T40" s="8">
        <f t="shared" si="62"/>
        <v>1</v>
      </c>
      <c r="U40" s="8" t="str">
        <f t="shared" si="63"/>
        <v>JUV</v>
      </c>
      <c r="V40" s="8">
        <f t="shared" si="64"/>
        <v>2</v>
      </c>
      <c r="W40" s="8">
        <f t="shared" si="65"/>
        <v>1</v>
      </c>
    </row>
    <row r="41" spans="1:23" x14ac:dyDescent="0.25">
      <c r="A41" s="9">
        <v>7</v>
      </c>
      <c r="B41" s="19" t="str">
        <f>VLOOKUP($A41, Equipes!$A$3:$B$16, 2, FALSE)</f>
        <v>WOL</v>
      </c>
      <c r="C41" s="18">
        <v>2</v>
      </c>
      <c r="D41" s="20" t="s">
        <v>19</v>
      </c>
      <c r="E41" s="18">
        <v>0</v>
      </c>
      <c r="F41" s="21" t="str">
        <f>VLOOKUP($G41, Equipes!$A$3:$B$16, 2, FALSE)</f>
        <v>BAR</v>
      </c>
      <c r="G41" s="22">
        <v>6</v>
      </c>
      <c r="H41" s="19">
        <v>4</v>
      </c>
      <c r="I41" s="19" t="s">
        <v>20</v>
      </c>
      <c r="J41" s="19">
        <v>6</v>
      </c>
      <c r="K41" s="19"/>
      <c r="M41" s="8" t="str">
        <f t="shared" si="55"/>
        <v>WOL</v>
      </c>
      <c r="N41" s="8" t="str">
        <f t="shared" si="56"/>
        <v>BAR</v>
      </c>
      <c r="O41" s="8" t="str">
        <f t="shared" si="57"/>
        <v>WOL</v>
      </c>
      <c r="P41" s="8" t="str">
        <f t="shared" si="58"/>
        <v/>
      </c>
      <c r="Q41" s="8" t="str">
        <f t="shared" si="59"/>
        <v/>
      </c>
      <c r="R41" s="8" t="str">
        <f t="shared" si="60"/>
        <v>BAR</v>
      </c>
      <c r="S41" s="8" t="str">
        <f t="shared" si="61"/>
        <v>WOL</v>
      </c>
      <c r="T41" s="8">
        <f t="shared" si="62"/>
        <v>2</v>
      </c>
      <c r="U41" s="8" t="str">
        <f t="shared" si="63"/>
        <v>BAR</v>
      </c>
      <c r="V41" s="8">
        <f t="shared" si="64"/>
        <v>0</v>
      </c>
      <c r="W41" s="8">
        <f t="shared" si="65"/>
        <v>2</v>
      </c>
    </row>
    <row r="42" spans="1:23" x14ac:dyDescent="0.25">
      <c r="A42" s="9">
        <v>8</v>
      </c>
      <c r="B42" s="8" t="str">
        <f>VLOOKUP($A42, Equipes!$A$3:$B$16, 2, FALSE)</f>
        <v>MIL</v>
      </c>
      <c r="C42" s="18">
        <v>1</v>
      </c>
      <c r="D42" s="10" t="s">
        <v>19</v>
      </c>
      <c r="E42" s="18">
        <v>1</v>
      </c>
      <c r="F42" s="11" t="str">
        <f>VLOOKUP($G42, Equipes!$A$3:$B$16, 2, FALSE)</f>
        <v>NEW</v>
      </c>
      <c r="G42" s="9">
        <v>10</v>
      </c>
      <c r="H42" s="8">
        <v>1</v>
      </c>
      <c r="I42" s="8" t="s">
        <v>21</v>
      </c>
      <c r="J42" s="8">
        <v>6</v>
      </c>
      <c r="M42" s="8" t="str">
        <f t="shared" si="55"/>
        <v>MIL</v>
      </c>
      <c r="N42" s="8" t="str">
        <f t="shared" si="56"/>
        <v>NEW</v>
      </c>
      <c r="O42" s="8" t="str">
        <f t="shared" si="57"/>
        <v/>
      </c>
      <c r="P42" s="8" t="str">
        <f t="shared" si="58"/>
        <v>MIL</v>
      </c>
      <c r="Q42" s="8" t="str">
        <f t="shared" si="59"/>
        <v>NEW</v>
      </c>
      <c r="R42" s="8" t="str">
        <f t="shared" si="60"/>
        <v/>
      </c>
      <c r="S42" s="8" t="str">
        <f t="shared" si="61"/>
        <v>MIL</v>
      </c>
      <c r="T42" s="8">
        <f t="shared" si="62"/>
        <v>1</v>
      </c>
      <c r="U42" s="8" t="str">
        <f t="shared" si="63"/>
        <v>NEW</v>
      </c>
      <c r="V42" s="8">
        <f t="shared" si="64"/>
        <v>1</v>
      </c>
      <c r="W42" s="8">
        <f t="shared" si="65"/>
        <v>1</v>
      </c>
    </row>
    <row r="43" spans="1:23" x14ac:dyDescent="0.25">
      <c r="A43" s="9">
        <v>11</v>
      </c>
      <c r="B43" s="19" t="str">
        <f>VLOOKUP($A43, Equipes!$A$3:$B$16, 2, FALSE)</f>
        <v>ESP</v>
      </c>
      <c r="C43" s="18">
        <v>0</v>
      </c>
      <c r="D43" s="20" t="s">
        <v>19</v>
      </c>
      <c r="E43" s="18">
        <v>3</v>
      </c>
      <c r="F43" s="21" t="str">
        <f>VLOOKUP($G43, Equipes!$A$3:$B$16, 2, FALSE)</f>
        <v>BAY</v>
      </c>
      <c r="G43" s="22">
        <v>9</v>
      </c>
      <c r="H43" s="19">
        <v>6</v>
      </c>
      <c r="I43" s="19" t="s">
        <v>21</v>
      </c>
      <c r="J43" s="19">
        <v>6</v>
      </c>
      <c r="K43" s="19"/>
      <c r="M43" s="8" t="str">
        <f t="shared" si="55"/>
        <v>ESP</v>
      </c>
      <c r="N43" s="8" t="str">
        <f t="shared" si="56"/>
        <v>BAY</v>
      </c>
      <c r="O43" s="8" t="str">
        <f t="shared" si="57"/>
        <v>BAY</v>
      </c>
      <c r="P43" s="8" t="str">
        <f t="shared" si="58"/>
        <v/>
      </c>
      <c r="Q43" s="8" t="str">
        <f t="shared" si="59"/>
        <v/>
      </c>
      <c r="R43" s="8" t="str">
        <f t="shared" si="60"/>
        <v>ESP</v>
      </c>
      <c r="S43" s="8" t="str">
        <f t="shared" si="61"/>
        <v>ESP</v>
      </c>
      <c r="T43" s="8">
        <f t="shared" si="62"/>
        <v>0</v>
      </c>
      <c r="U43" s="8" t="str">
        <f t="shared" si="63"/>
        <v>BAY</v>
      </c>
      <c r="V43" s="8">
        <f t="shared" si="64"/>
        <v>3</v>
      </c>
      <c r="W43" s="8">
        <f t="shared" si="65"/>
        <v>0</v>
      </c>
    </row>
    <row r="44" spans="1:23" x14ac:dyDescent="0.25">
      <c r="A44" s="9">
        <v>14</v>
      </c>
      <c r="B44" s="8" t="str">
        <f>VLOOKUP($A44, Equipes!$A$3:$B$16, 2, FALSE)</f>
        <v>IMI</v>
      </c>
      <c r="C44" s="18">
        <v>3</v>
      </c>
      <c r="D44" s="10" t="s">
        <v>19</v>
      </c>
      <c r="E44" s="18">
        <v>1</v>
      </c>
      <c r="F44" s="11" t="str">
        <f>VLOOKUP($G44, Equipes!$A$3:$B$16, 2, FALSE)</f>
        <v>POR</v>
      </c>
      <c r="G44" s="9">
        <v>13</v>
      </c>
      <c r="H44" s="8">
        <v>5</v>
      </c>
      <c r="I44" s="8" t="s">
        <v>21</v>
      </c>
      <c r="J44" s="8">
        <v>6</v>
      </c>
      <c r="M44" s="8" t="str">
        <f t="shared" si="55"/>
        <v>IMI</v>
      </c>
      <c r="N44" s="8" t="str">
        <f t="shared" si="56"/>
        <v>POR</v>
      </c>
      <c r="O44" s="8" t="str">
        <f t="shared" si="57"/>
        <v>IMI</v>
      </c>
      <c r="P44" s="8" t="str">
        <f t="shared" si="58"/>
        <v/>
      </c>
      <c r="Q44" s="8" t="str">
        <f t="shared" si="59"/>
        <v/>
      </c>
      <c r="R44" s="8" t="str">
        <f t="shared" si="60"/>
        <v>POR</v>
      </c>
      <c r="S44" s="8" t="str">
        <f t="shared" si="61"/>
        <v>IMI</v>
      </c>
      <c r="T44" s="8">
        <f t="shared" si="62"/>
        <v>3</v>
      </c>
      <c r="U44" s="8" t="str">
        <f t="shared" si="63"/>
        <v>POR</v>
      </c>
      <c r="V44" s="8">
        <f t="shared" si="64"/>
        <v>1</v>
      </c>
      <c r="W44" s="8">
        <f t="shared" si="65"/>
        <v>3</v>
      </c>
    </row>
    <row r="45" spans="1:23" x14ac:dyDescent="0.25">
      <c r="B45" s="13" t="s">
        <v>27</v>
      </c>
      <c r="C45" s="14"/>
      <c r="D45" s="14"/>
      <c r="E45" s="14"/>
      <c r="F45" s="15"/>
      <c r="G45" s="16"/>
      <c r="H45" s="13" t="s">
        <v>8</v>
      </c>
      <c r="I45" s="13" t="s">
        <v>9</v>
      </c>
      <c r="J45" s="13" t="s">
        <v>10</v>
      </c>
      <c r="K45" s="17">
        <f>K3 + TIME(0,120,0)</f>
        <v>45692.885416666672</v>
      </c>
      <c r="M45" s="12" t="s">
        <v>11</v>
      </c>
      <c r="N45" s="12" t="s">
        <v>11</v>
      </c>
      <c r="O45" s="12" t="s">
        <v>12</v>
      </c>
      <c r="P45" s="12" t="s">
        <v>13</v>
      </c>
      <c r="Q45" s="12" t="s">
        <v>13</v>
      </c>
      <c r="R45" s="12" t="s">
        <v>14</v>
      </c>
      <c r="S45" s="12" t="s">
        <v>15</v>
      </c>
      <c r="T45" s="12" t="s">
        <v>16</v>
      </c>
      <c r="U45" s="12" t="s">
        <v>12</v>
      </c>
      <c r="V45" s="12" t="s">
        <v>17</v>
      </c>
      <c r="W45" s="12" t="s">
        <v>18</v>
      </c>
    </row>
    <row r="46" spans="1:23" x14ac:dyDescent="0.25">
      <c r="A46" s="9">
        <v>1</v>
      </c>
      <c r="B46" s="8" t="str">
        <f>VLOOKUP($A46, Equipes!$A$3:$B$16, 2, FALSE)</f>
        <v>PSG</v>
      </c>
      <c r="C46" s="18">
        <v>3</v>
      </c>
      <c r="D46" s="10" t="s">
        <v>19</v>
      </c>
      <c r="E46" s="18">
        <v>0</v>
      </c>
      <c r="F46" s="11" t="str">
        <f>VLOOKUP($G46, Equipes!$A$3:$B$16, 2, FALSE)</f>
        <v>JUV</v>
      </c>
      <c r="G46" s="9">
        <v>2</v>
      </c>
      <c r="H46" s="8">
        <v>5</v>
      </c>
      <c r="I46" s="8" t="s">
        <v>20</v>
      </c>
      <c r="J46" s="8">
        <v>7</v>
      </c>
      <c r="M46" s="8" t="str">
        <f t="shared" ref="M46:M51" si="66">IF(OR(C46 = "",E46 = ""), "", B46)</f>
        <v>PSG</v>
      </c>
      <c r="N46" s="8" t="str">
        <f t="shared" ref="N46:N51" si="67">IF(OR(C46 = "",E46 = ""), "", F46)</f>
        <v>JUV</v>
      </c>
      <c r="O46" s="8" t="str">
        <f t="shared" ref="O46:O51" si="68">IF(C46&gt;E46,B46, IF(E46&gt;C46,F46, ""))</f>
        <v>PSG</v>
      </c>
      <c r="P46" s="8" t="str">
        <f t="shared" ref="P46:P51" si="69">IF(OR(C46 = "",E46 = ""), "", IF(C46=E46,B46, ""))</f>
        <v/>
      </c>
      <c r="Q46" s="8" t="str">
        <f t="shared" ref="Q46:Q51" si="70">IF(OR(C46 = "",E46 = ""), "", IF(C46=E46,F46, ""))</f>
        <v/>
      </c>
      <c r="R46" s="8" t="str">
        <f t="shared" ref="R46:R51" si="71">IF(C46&gt;E46,F46, IF(E46&gt;C46,B46, ""))</f>
        <v>JUV</v>
      </c>
      <c r="S46" s="8" t="str">
        <f t="shared" ref="S46:S51" si="72">IF(OR(C46 = "",E46 = ""), "", B46)</f>
        <v>PSG</v>
      </c>
      <c r="T46" s="8">
        <f t="shared" ref="T46:T51" si="73">IF(C46 = "", "", C46)</f>
        <v>3</v>
      </c>
      <c r="U46" s="8" t="str">
        <f t="shared" ref="U46:U51" si="74">IF(OR(C46 = "",E46 = ""), "", F46)</f>
        <v>JUV</v>
      </c>
      <c r="V46" s="8">
        <f t="shared" ref="V46:V51" si="75">IF(E46 = "", "", E46)</f>
        <v>0</v>
      </c>
      <c r="W46" s="8">
        <f t="shared" ref="W46:W51" si="76">IF(C46 = "", "", C46)</f>
        <v>3</v>
      </c>
    </row>
    <row r="47" spans="1:23" x14ac:dyDescent="0.25">
      <c r="A47" s="9">
        <v>3</v>
      </c>
      <c r="B47" s="19" t="str">
        <f>VLOOKUP($A47, Equipes!$A$3:$B$16, 2, FALSE)</f>
        <v>BOR</v>
      </c>
      <c r="C47" s="18">
        <v>0</v>
      </c>
      <c r="D47" s="20" t="s">
        <v>19</v>
      </c>
      <c r="E47" s="18">
        <v>6</v>
      </c>
      <c r="F47" s="21" t="str">
        <f>VLOOKUP($G47, Equipes!$A$3:$B$16, 2, FALSE)</f>
        <v>REA</v>
      </c>
      <c r="G47" s="22">
        <v>5</v>
      </c>
      <c r="H47" s="19">
        <v>3</v>
      </c>
      <c r="I47" s="19" t="s">
        <v>20</v>
      </c>
      <c r="J47" s="19">
        <v>7</v>
      </c>
      <c r="K47" s="19"/>
      <c r="M47" s="8" t="str">
        <f t="shared" si="66"/>
        <v>BOR</v>
      </c>
      <c r="N47" s="8" t="str">
        <f t="shared" si="67"/>
        <v>REA</v>
      </c>
      <c r="O47" s="8" t="str">
        <f t="shared" si="68"/>
        <v>REA</v>
      </c>
      <c r="P47" s="8" t="str">
        <f t="shared" si="69"/>
        <v/>
      </c>
      <c r="Q47" s="8" t="str">
        <f t="shared" si="70"/>
        <v/>
      </c>
      <c r="R47" s="8" t="str">
        <f t="shared" si="71"/>
        <v>BOR</v>
      </c>
      <c r="S47" s="8" t="str">
        <f t="shared" si="72"/>
        <v>BOR</v>
      </c>
      <c r="T47" s="8">
        <f t="shared" si="73"/>
        <v>0</v>
      </c>
      <c r="U47" s="8" t="str">
        <f t="shared" si="74"/>
        <v>REA</v>
      </c>
      <c r="V47" s="8">
        <f t="shared" si="75"/>
        <v>6</v>
      </c>
      <c r="W47" s="8">
        <f t="shared" si="76"/>
        <v>0</v>
      </c>
    </row>
    <row r="48" spans="1:23" x14ac:dyDescent="0.25">
      <c r="A48" s="9">
        <v>4</v>
      </c>
      <c r="B48" s="8" t="str">
        <f>VLOOKUP($A48, Equipes!$A$3:$B$16, 2, FALSE)</f>
        <v>NAP</v>
      </c>
      <c r="C48" s="18">
        <v>2</v>
      </c>
      <c r="D48" s="10" t="s">
        <v>19</v>
      </c>
      <c r="E48" s="18">
        <v>4</v>
      </c>
      <c r="F48" s="11" t="str">
        <f>VLOOKUP($G48, Equipes!$A$3:$B$16, 2, FALSE)</f>
        <v>BAR</v>
      </c>
      <c r="G48" s="9">
        <v>6</v>
      </c>
      <c r="H48" s="8">
        <v>2</v>
      </c>
      <c r="I48" s="8" t="s">
        <v>20</v>
      </c>
      <c r="J48" s="8">
        <v>7</v>
      </c>
      <c r="M48" s="8" t="str">
        <f t="shared" si="66"/>
        <v>NAP</v>
      </c>
      <c r="N48" s="8" t="str">
        <f t="shared" si="67"/>
        <v>BAR</v>
      </c>
      <c r="O48" s="8" t="str">
        <f t="shared" si="68"/>
        <v>BAR</v>
      </c>
      <c r="P48" s="8" t="str">
        <f t="shared" si="69"/>
        <v/>
      </c>
      <c r="Q48" s="8" t="str">
        <f t="shared" si="70"/>
        <v/>
      </c>
      <c r="R48" s="8" t="str">
        <f t="shared" si="71"/>
        <v>NAP</v>
      </c>
      <c r="S48" s="8" t="str">
        <f t="shared" si="72"/>
        <v>NAP</v>
      </c>
      <c r="T48" s="8">
        <f t="shared" si="73"/>
        <v>2</v>
      </c>
      <c r="U48" s="8" t="str">
        <f t="shared" si="74"/>
        <v>BAR</v>
      </c>
      <c r="V48" s="8">
        <f t="shared" si="75"/>
        <v>4</v>
      </c>
      <c r="W48" s="8">
        <f t="shared" si="76"/>
        <v>2</v>
      </c>
    </row>
    <row r="49" spans="1:23" x14ac:dyDescent="0.25">
      <c r="A49" s="9">
        <v>8</v>
      </c>
      <c r="B49" s="19" t="str">
        <f>VLOOKUP($A49, Equipes!$A$3:$B$16, 2, FALSE)</f>
        <v>MIL</v>
      </c>
      <c r="C49" s="18">
        <v>1</v>
      </c>
      <c r="D49" s="20" t="s">
        <v>19</v>
      </c>
      <c r="E49" s="18">
        <v>4</v>
      </c>
      <c r="F49" s="21" t="str">
        <f>VLOOKUP($G49, Equipes!$A$3:$B$16, 2, FALSE)</f>
        <v>BAY</v>
      </c>
      <c r="G49" s="22">
        <v>9</v>
      </c>
      <c r="H49" s="19">
        <v>4</v>
      </c>
      <c r="I49" s="19" t="s">
        <v>21</v>
      </c>
      <c r="J49" s="19">
        <v>7</v>
      </c>
      <c r="K49" s="19"/>
      <c r="M49" s="8" t="str">
        <f t="shared" si="66"/>
        <v>MIL</v>
      </c>
      <c r="N49" s="8" t="str">
        <f t="shared" si="67"/>
        <v>BAY</v>
      </c>
      <c r="O49" s="8" t="str">
        <f t="shared" si="68"/>
        <v>BAY</v>
      </c>
      <c r="P49" s="8" t="str">
        <f t="shared" si="69"/>
        <v/>
      </c>
      <c r="Q49" s="8" t="str">
        <f t="shared" si="70"/>
        <v/>
      </c>
      <c r="R49" s="8" t="str">
        <f t="shared" si="71"/>
        <v>MIL</v>
      </c>
      <c r="S49" s="8" t="str">
        <f t="shared" si="72"/>
        <v>MIL</v>
      </c>
      <c r="T49" s="8">
        <f t="shared" si="73"/>
        <v>1</v>
      </c>
      <c r="U49" s="8" t="str">
        <f t="shared" si="74"/>
        <v>BAY</v>
      </c>
      <c r="V49" s="8">
        <f t="shared" si="75"/>
        <v>4</v>
      </c>
      <c r="W49" s="8">
        <f t="shared" si="76"/>
        <v>1</v>
      </c>
    </row>
    <row r="50" spans="1:23" x14ac:dyDescent="0.25">
      <c r="A50" s="9">
        <v>10</v>
      </c>
      <c r="B50" s="8" t="str">
        <f>VLOOKUP($A50, Equipes!$A$3:$B$16, 2, FALSE)</f>
        <v>NEW</v>
      </c>
      <c r="C50" s="18">
        <v>1</v>
      </c>
      <c r="D50" s="10" t="s">
        <v>19</v>
      </c>
      <c r="E50" s="18">
        <v>5</v>
      </c>
      <c r="F50" s="11" t="str">
        <f>VLOOKUP($G50, Equipes!$A$3:$B$16, 2, FALSE)</f>
        <v>ROM</v>
      </c>
      <c r="G50" s="9">
        <v>12</v>
      </c>
      <c r="H50" s="8">
        <v>1</v>
      </c>
      <c r="I50" s="8" t="s">
        <v>21</v>
      </c>
      <c r="J50" s="8">
        <v>7</v>
      </c>
      <c r="M50" s="8" t="str">
        <f t="shared" si="66"/>
        <v>NEW</v>
      </c>
      <c r="N50" s="8" t="str">
        <f t="shared" si="67"/>
        <v>ROM</v>
      </c>
      <c r="O50" s="8" t="str">
        <f t="shared" si="68"/>
        <v>ROM</v>
      </c>
      <c r="P50" s="8" t="str">
        <f t="shared" si="69"/>
        <v/>
      </c>
      <c r="Q50" s="8" t="str">
        <f t="shared" si="70"/>
        <v/>
      </c>
      <c r="R50" s="8" t="str">
        <f t="shared" si="71"/>
        <v>NEW</v>
      </c>
      <c r="S50" s="8" t="str">
        <f t="shared" si="72"/>
        <v>NEW</v>
      </c>
      <c r="T50" s="8">
        <f t="shared" si="73"/>
        <v>1</v>
      </c>
      <c r="U50" s="8" t="str">
        <f t="shared" si="74"/>
        <v>ROM</v>
      </c>
      <c r="V50" s="8">
        <f t="shared" si="75"/>
        <v>5</v>
      </c>
      <c r="W50" s="8">
        <f t="shared" si="76"/>
        <v>1</v>
      </c>
    </row>
    <row r="51" spans="1:23" x14ac:dyDescent="0.25">
      <c r="A51" s="9">
        <v>11</v>
      </c>
      <c r="B51" s="19" t="str">
        <f>VLOOKUP($A51, Equipes!$A$3:$B$16, 2, FALSE)</f>
        <v>ESP</v>
      </c>
      <c r="C51" s="18">
        <v>2</v>
      </c>
      <c r="D51" s="20" t="s">
        <v>19</v>
      </c>
      <c r="E51" s="18">
        <v>1</v>
      </c>
      <c r="F51" s="21" t="str">
        <f>VLOOKUP($G51, Equipes!$A$3:$B$16, 2, FALSE)</f>
        <v>POR</v>
      </c>
      <c r="G51" s="22">
        <v>13</v>
      </c>
      <c r="H51" s="19">
        <v>6</v>
      </c>
      <c r="I51" s="19" t="s">
        <v>21</v>
      </c>
      <c r="J51" s="19">
        <v>7</v>
      </c>
      <c r="K51" s="19"/>
      <c r="M51" s="8" t="str">
        <f t="shared" si="66"/>
        <v>ESP</v>
      </c>
      <c r="N51" s="8" t="str">
        <f t="shared" si="67"/>
        <v>POR</v>
      </c>
      <c r="O51" s="8" t="str">
        <f t="shared" si="68"/>
        <v>ESP</v>
      </c>
      <c r="P51" s="8" t="str">
        <f t="shared" si="69"/>
        <v/>
      </c>
      <c r="Q51" s="8" t="str">
        <f t="shared" si="70"/>
        <v/>
      </c>
      <c r="R51" s="8" t="str">
        <f t="shared" si="71"/>
        <v>POR</v>
      </c>
      <c r="S51" s="8" t="str">
        <f t="shared" si="72"/>
        <v>ESP</v>
      </c>
      <c r="T51" s="8">
        <f t="shared" si="73"/>
        <v>2</v>
      </c>
      <c r="U51" s="8" t="str">
        <f t="shared" si="74"/>
        <v>POR</v>
      </c>
      <c r="V51" s="8">
        <f t="shared" si="75"/>
        <v>1</v>
      </c>
      <c r="W51" s="8">
        <f t="shared" si="76"/>
        <v>2</v>
      </c>
    </row>
  </sheetData>
  <sheetProtection algorithmName="SHA-512" hashValue="opafnw5yiRd7pZwwKMT4mFKl8zhi8goivpvQwi3PtTF2XobXNff6rAZz9KRVE3I1B+5u8pXcBoP6R2gIo1gARQ==" saltValue="+JU5JIWbzdRCyTQywd96q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6B35-D27E-473A-8FEE-FEB27376E1C4}">
  <dimension ref="A1:S40"/>
  <sheetViews>
    <sheetView showGridLines="0" workbookViewId="0">
      <pane ySplit="1" topLeftCell="A2" activePane="bottomLeft" state="frozen"/>
      <selection pane="bottomLeft" activeCell="A3" sqref="A3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28</v>
      </c>
      <c r="S1" s="23" t="s">
        <v>37</v>
      </c>
    </row>
    <row r="2" spans="1:19" ht="12.75" x14ac:dyDescent="0.2">
      <c r="B2" s="3" t="s">
        <v>1</v>
      </c>
      <c r="S2" s="23">
        <f>SUM($G$6:$G$21)</f>
        <v>84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29</v>
      </c>
      <c r="B5" s="24" t="s">
        <v>20</v>
      </c>
      <c r="C5" s="28" t="s">
        <v>20</v>
      </c>
      <c r="D5" s="29" t="s">
        <v>30</v>
      </c>
      <c r="E5" s="31" t="s">
        <v>31</v>
      </c>
      <c r="F5" s="31" t="s">
        <v>32</v>
      </c>
      <c r="G5" s="31" t="s">
        <v>11</v>
      </c>
      <c r="H5" s="31" t="s">
        <v>12</v>
      </c>
      <c r="I5" s="31" t="s">
        <v>13</v>
      </c>
      <c r="J5" s="31" t="s">
        <v>14</v>
      </c>
      <c r="K5" s="31" t="s">
        <v>33</v>
      </c>
      <c r="L5" s="31" t="s">
        <v>34</v>
      </c>
      <c r="M5" s="31" t="s">
        <v>35</v>
      </c>
      <c r="N5" s="30" t="s">
        <v>36</v>
      </c>
    </row>
    <row r="6" spans="1:19" x14ac:dyDescent="0.15">
      <c r="A6" s="24" t="str">
        <f t="shared" ref="A6:A12" ca="1" si="0">CONCATENATE(C6,B6)</f>
        <v>1A</v>
      </c>
      <c r="B6" s="24" t="s">
        <v>20</v>
      </c>
      <c r="C6" s="24">
        <f t="shared" ref="C6:C12" ca="1" si="1">IF(SUM($G$6:$G$12)=0,0,_xlfn.RANK.EQ(N6,$N$6:$N$12))</f>
        <v>1</v>
      </c>
      <c r="D6" s="25" t="str">
        <f>VLOOKUP($O6, Equipes!$A$3:$B$16, 2, FALSE)</f>
        <v>PSG</v>
      </c>
      <c r="E6" s="32">
        <f t="shared" ref="E6:E12" si="2">IF(G6=0,0,(F6)/(G6*3))</f>
        <v>0.83333333333333337</v>
      </c>
      <c r="F6" s="24">
        <f t="shared" ref="F6:F12" si="3">(H6*3)+(I6*1)</f>
        <v>15</v>
      </c>
      <c r="G6" s="24">
        <f>COUNTIF(Jogos!$M$1:$N$51, $D6)</f>
        <v>6</v>
      </c>
      <c r="H6" s="24">
        <f>COUNTIF(Jogos!$O$1:$O$51, $D6)</f>
        <v>5</v>
      </c>
      <c r="I6" s="24">
        <f>COUNTIF(Jogos!$P$1:$Q$51, $D6)</f>
        <v>0</v>
      </c>
      <c r="J6" s="24">
        <f>COUNTIF(Jogos!$R$1:$R$51, $D6)</f>
        <v>1</v>
      </c>
      <c r="K6" s="24">
        <f ca="1">SUMIF(Jogos!$S$1:$T$51, $D6, Jogos!$T$1:$T$51)+SUMIF(Jogos!$U$1:$V$51, $D6, Jogos!$V$1:$V$51)</f>
        <v>17</v>
      </c>
      <c r="L6" s="24">
        <f ca="1">SUMIF(Jogos!$S$1:$V$51, $D6, Jogos!$V$1:$V$51)+SUMIF(Jogos!$U$1:$W$51, $D6, Jogos!$W$1:$W$51)</f>
        <v>11</v>
      </c>
      <c r="M6" s="24">
        <f t="shared" ref="M6:M12" ca="1" si="4">K6-L6</f>
        <v>6</v>
      </c>
      <c r="N6" s="24">
        <f t="shared" ref="N6:N12" ca="1" si="5">(E6*E$3+F6*F$3+H6*H$3+M6*M$3+K6*K$3)/(E$3/100)-ROW(N6)/E$3</f>
        <v>84.88395027333334</v>
      </c>
      <c r="O6" s="26">
        <v>1</v>
      </c>
      <c r="P6" s="26">
        <f t="shared" ref="P6:P12" ca="1" si="6">(E6*E$3+F6*F$3+H6*H$3+M6*M$3+K6*K$3)/(E$3/100)</f>
        <v>84.883950333333345</v>
      </c>
      <c r="Q6" s="26">
        <f t="shared" ref="Q6:Q12" ca="1" si="7">IF(SUM($G$6:$G$12)=0,0,_xlfn.RANK.EQ(P6,$P$6:$P$12))</f>
        <v>1</v>
      </c>
    </row>
    <row r="7" spans="1:19" x14ac:dyDescent="0.15">
      <c r="A7" s="24" t="str">
        <f t="shared" ca="1" si="0"/>
        <v>2A</v>
      </c>
      <c r="B7" s="24" t="s">
        <v>20</v>
      </c>
      <c r="C7" s="24">
        <f t="shared" ca="1" si="1"/>
        <v>2</v>
      </c>
      <c r="D7" s="25" t="str">
        <f>VLOOKUP($O7, Equipes!$A$3:$B$16, 2, FALSE)</f>
        <v>JUV</v>
      </c>
      <c r="E7" s="32">
        <f t="shared" si="2"/>
        <v>0.61111111111111116</v>
      </c>
      <c r="F7" s="24">
        <f t="shared" si="3"/>
        <v>11</v>
      </c>
      <c r="G7" s="24">
        <f>COUNTIF(Jogos!$M$1:$N$51, $D7)</f>
        <v>6</v>
      </c>
      <c r="H7" s="24">
        <f>COUNTIF(Jogos!$O$1:$O$51, $D7)</f>
        <v>3</v>
      </c>
      <c r="I7" s="24">
        <f>COUNTIF(Jogos!$P$1:$Q$51, $D7)</f>
        <v>2</v>
      </c>
      <c r="J7" s="24">
        <f>COUNTIF(Jogos!$R$1:$R$51, $D7)</f>
        <v>1</v>
      </c>
      <c r="K7" s="24">
        <f ca="1">SUMIF(Jogos!$S$1:$T$51, $D7, Jogos!$T$1:$T$51)+SUMIF(Jogos!$U$1:$V$51, $D7, Jogos!$V$1:$V$51)</f>
        <v>10</v>
      </c>
      <c r="L7" s="24">
        <f ca="1">SUMIF(Jogos!$S$1:$V$51, $D7, Jogos!$V$1:$V$51)+SUMIF(Jogos!$U$1:$W$51, $D7, Jogos!$W$1:$W$51)</f>
        <v>8</v>
      </c>
      <c r="M7" s="24">
        <f t="shared" ca="1" si="4"/>
        <v>2</v>
      </c>
      <c r="N7" s="24">
        <f t="shared" ca="1" si="5"/>
        <v>62.241321041111121</v>
      </c>
      <c r="O7" s="26">
        <v>2</v>
      </c>
      <c r="P7" s="26">
        <f t="shared" ca="1" si="6"/>
        <v>62.24132111111112</v>
      </c>
      <c r="Q7" s="26">
        <f t="shared" ca="1" si="7"/>
        <v>2</v>
      </c>
    </row>
    <row r="8" spans="1:19" x14ac:dyDescent="0.15">
      <c r="A8" s="24" t="str">
        <f t="shared" ca="1" si="0"/>
        <v>7A</v>
      </c>
      <c r="B8" s="24" t="s">
        <v>20</v>
      </c>
      <c r="C8" s="24">
        <f t="shared" ca="1" si="1"/>
        <v>7</v>
      </c>
      <c r="D8" s="25" t="str">
        <f>VLOOKUP($O8, Equipes!$A$3:$B$16, 2, FALSE)</f>
        <v>BOR</v>
      </c>
      <c r="E8" s="32">
        <f t="shared" si="2"/>
        <v>0.16666666666666666</v>
      </c>
      <c r="F8" s="24">
        <f t="shared" si="3"/>
        <v>3</v>
      </c>
      <c r="G8" s="24">
        <f>COUNTIF(Jogos!$M$1:$N$51, $D8)</f>
        <v>6</v>
      </c>
      <c r="H8" s="24">
        <f>COUNTIF(Jogos!$O$1:$O$51, $D8)</f>
        <v>0</v>
      </c>
      <c r="I8" s="24">
        <f>COUNTIF(Jogos!$P$1:$Q$51, $D8)</f>
        <v>3</v>
      </c>
      <c r="J8" s="24">
        <f>COUNTIF(Jogos!$R$1:$R$51, $D8)</f>
        <v>3</v>
      </c>
      <c r="K8" s="24">
        <f ca="1">SUMIF(Jogos!$S$1:$T$51, $D8, Jogos!$T$1:$T$51)+SUMIF(Jogos!$U$1:$V$51, $D8, Jogos!$V$1:$V$51)</f>
        <v>8</v>
      </c>
      <c r="L8" s="24">
        <f ca="1">SUMIF(Jogos!$S$1:$V$51, $D8, Jogos!$V$1:$V$51)+SUMIF(Jogos!$U$1:$W$51, $D8, Jogos!$W$1:$W$51)</f>
        <v>16</v>
      </c>
      <c r="M8" s="24">
        <f t="shared" ca="1" si="4"/>
        <v>-8</v>
      </c>
      <c r="N8" s="24">
        <f t="shared" ca="1" si="5"/>
        <v>16.965874586666665</v>
      </c>
      <c r="O8" s="26">
        <v>3</v>
      </c>
      <c r="P8" s="26">
        <f t="shared" ca="1" si="6"/>
        <v>16.965874666666664</v>
      </c>
      <c r="Q8" s="26">
        <f t="shared" ca="1" si="7"/>
        <v>7</v>
      </c>
    </row>
    <row r="9" spans="1:19" x14ac:dyDescent="0.15">
      <c r="A9" s="24" t="str">
        <f t="shared" ca="1" si="0"/>
        <v>6A</v>
      </c>
      <c r="B9" s="24" t="s">
        <v>20</v>
      </c>
      <c r="C9" s="24">
        <f t="shared" ca="1" si="1"/>
        <v>6</v>
      </c>
      <c r="D9" s="25" t="str">
        <f>VLOOKUP($O9, Equipes!$A$3:$B$16, 2, FALSE)</f>
        <v>NAP</v>
      </c>
      <c r="E9" s="32">
        <f t="shared" si="2"/>
        <v>0.27777777777777779</v>
      </c>
      <c r="F9" s="24">
        <f t="shared" si="3"/>
        <v>5</v>
      </c>
      <c r="G9" s="24">
        <f>COUNTIF(Jogos!$M$1:$N$51, $D9)</f>
        <v>6</v>
      </c>
      <c r="H9" s="24">
        <f>COUNTIF(Jogos!$O$1:$O$51, $D9)</f>
        <v>1</v>
      </c>
      <c r="I9" s="24">
        <f>COUNTIF(Jogos!$P$1:$Q$51, $D9)</f>
        <v>2</v>
      </c>
      <c r="J9" s="24">
        <f>COUNTIF(Jogos!$R$1:$R$51, $D9)</f>
        <v>3</v>
      </c>
      <c r="K9" s="24">
        <f ca="1">SUMIF(Jogos!$S$1:$T$51, $D9, Jogos!$T$1:$T$51)+SUMIF(Jogos!$U$1:$V$51, $D9, Jogos!$V$1:$V$51)</f>
        <v>12</v>
      </c>
      <c r="L9" s="24">
        <f ca="1">SUMIF(Jogos!$S$1:$V$51, $D9, Jogos!$V$1:$V$51)+SUMIF(Jogos!$U$1:$W$51, $D9, Jogos!$W$1:$W$51)</f>
        <v>14</v>
      </c>
      <c r="M9" s="24">
        <f t="shared" ca="1" si="4"/>
        <v>-2</v>
      </c>
      <c r="N9" s="24">
        <f t="shared" ca="1" si="5"/>
        <v>28.287589687777778</v>
      </c>
      <c r="O9" s="26">
        <v>4</v>
      </c>
      <c r="P9" s="26">
        <f t="shared" ca="1" si="6"/>
        <v>28.287589777777779</v>
      </c>
      <c r="Q9" s="26">
        <f t="shared" ca="1" si="7"/>
        <v>6</v>
      </c>
    </row>
    <row r="10" spans="1:19" x14ac:dyDescent="0.15">
      <c r="A10" s="24" t="str">
        <f t="shared" ca="1" si="0"/>
        <v>4A</v>
      </c>
      <c r="B10" s="24" t="s">
        <v>20</v>
      </c>
      <c r="C10" s="24">
        <f t="shared" ca="1" si="1"/>
        <v>4</v>
      </c>
      <c r="D10" s="25" t="str">
        <f>VLOOKUP($O10, Equipes!$A$3:$B$16, 2, FALSE)</f>
        <v>REA</v>
      </c>
      <c r="E10" s="32">
        <f t="shared" si="2"/>
        <v>0.44444444444444442</v>
      </c>
      <c r="F10" s="24">
        <f t="shared" si="3"/>
        <v>8</v>
      </c>
      <c r="G10" s="24">
        <f>COUNTIF(Jogos!$M$1:$N$51, $D10)</f>
        <v>6</v>
      </c>
      <c r="H10" s="24">
        <f>COUNTIF(Jogos!$O$1:$O$51, $D10)</f>
        <v>2</v>
      </c>
      <c r="I10" s="24">
        <f>COUNTIF(Jogos!$P$1:$Q$51, $D10)</f>
        <v>2</v>
      </c>
      <c r="J10" s="24">
        <f>COUNTIF(Jogos!$R$1:$R$51, $D10)</f>
        <v>2</v>
      </c>
      <c r="K10" s="24">
        <f ca="1">SUMIF(Jogos!$S$1:$T$51, $D10, Jogos!$T$1:$T$51)+SUMIF(Jogos!$U$1:$V$51, $D10, Jogos!$V$1:$V$51)</f>
        <v>19</v>
      </c>
      <c r="L10" s="24">
        <f ca="1">SUMIF(Jogos!$S$1:$V$51, $D10, Jogos!$V$1:$V$51)+SUMIF(Jogos!$U$1:$W$51, $D10, Jogos!$W$1:$W$51)</f>
        <v>15</v>
      </c>
      <c r="M10" s="24">
        <f t="shared" ca="1" si="4"/>
        <v>4</v>
      </c>
      <c r="N10" s="24">
        <f t="shared" ca="1" si="5"/>
        <v>45.264863344444436</v>
      </c>
      <c r="O10" s="26">
        <v>5</v>
      </c>
      <c r="P10" s="26">
        <f t="shared" ca="1" si="6"/>
        <v>45.264863444444437</v>
      </c>
      <c r="Q10" s="26">
        <f t="shared" ca="1" si="7"/>
        <v>4</v>
      </c>
    </row>
    <row r="11" spans="1:19" x14ac:dyDescent="0.15">
      <c r="A11" s="24" t="str">
        <f t="shared" ca="1" si="0"/>
        <v>5A</v>
      </c>
      <c r="B11" s="24" t="s">
        <v>20</v>
      </c>
      <c r="C11" s="24">
        <f t="shared" ca="1" si="1"/>
        <v>5</v>
      </c>
      <c r="D11" s="25" t="str">
        <f>VLOOKUP($O11, Equipes!$A$3:$B$16, 2, FALSE)</f>
        <v>BAR</v>
      </c>
      <c r="E11" s="32">
        <f t="shared" si="2"/>
        <v>0.3888888888888889</v>
      </c>
      <c r="F11" s="24">
        <f t="shared" si="3"/>
        <v>7</v>
      </c>
      <c r="G11" s="24">
        <f>COUNTIF(Jogos!$M$1:$N$51, $D11)</f>
        <v>6</v>
      </c>
      <c r="H11" s="24">
        <f>COUNTIF(Jogos!$O$1:$O$51, $D11)</f>
        <v>2</v>
      </c>
      <c r="I11" s="24">
        <f>COUNTIF(Jogos!$P$1:$Q$51, $D11)</f>
        <v>1</v>
      </c>
      <c r="J11" s="24">
        <f>COUNTIF(Jogos!$R$1:$R$51, $D11)</f>
        <v>3</v>
      </c>
      <c r="K11" s="24">
        <f ca="1">SUMIF(Jogos!$S$1:$T$51, $D11, Jogos!$T$1:$T$51)+SUMIF(Jogos!$U$1:$V$51, $D11, Jogos!$V$1:$V$51)</f>
        <v>12</v>
      </c>
      <c r="L11" s="24">
        <f ca="1">SUMIF(Jogos!$S$1:$V$51, $D11, Jogos!$V$1:$V$51)+SUMIF(Jogos!$U$1:$W$51, $D11, Jogos!$W$1:$W$51)</f>
        <v>15</v>
      </c>
      <c r="M11" s="24">
        <f t="shared" ca="1" si="4"/>
        <v>-3</v>
      </c>
      <c r="N11" s="24">
        <f t="shared" ca="1" si="5"/>
        <v>39.608600778888885</v>
      </c>
      <c r="O11" s="26">
        <v>6</v>
      </c>
      <c r="P11" s="26">
        <f t="shared" ca="1" si="6"/>
        <v>39.608600888888887</v>
      </c>
      <c r="Q11" s="26">
        <f t="shared" ca="1" si="7"/>
        <v>5</v>
      </c>
    </row>
    <row r="12" spans="1:19" x14ac:dyDescent="0.15">
      <c r="A12" s="24" t="str">
        <f t="shared" ca="1" si="0"/>
        <v>3A</v>
      </c>
      <c r="B12" s="24" t="s">
        <v>20</v>
      </c>
      <c r="C12" s="24">
        <f t="shared" ca="1" si="1"/>
        <v>3</v>
      </c>
      <c r="D12" s="25" t="str">
        <f>VLOOKUP($O12, Equipes!$A$3:$B$16, 2, FALSE)</f>
        <v>WOL</v>
      </c>
      <c r="E12" s="32">
        <f t="shared" si="2"/>
        <v>0.5</v>
      </c>
      <c r="F12" s="24">
        <f t="shared" si="3"/>
        <v>9</v>
      </c>
      <c r="G12" s="24">
        <f>COUNTIF(Jogos!$M$1:$N$51, $D12)</f>
        <v>6</v>
      </c>
      <c r="H12" s="24">
        <f>COUNTIF(Jogos!$O$1:$O$51, $D12)</f>
        <v>3</v>
      </c>
      <c r="I12" s="24">
        <f>COUNTIF(Jogos!$P$1:$Q$51, $D12)</f>
        <v>0</v>
      </c>
      <c r="J12" s="24">
        <f>COUNTIF(Jogos!$R$1:$R$51, $D12)</f>
        <v>3</v>
      </c>
      <c r="K12" s="24">
        <f ca="1">SUMIF(Jogos!$S$1:$T$51, $D12, Jogos!$T$1:$T$51)+SUMIF(Jogos!$U$1:$V$51, $D12, Jogos!$V$1:$V$51)</f>
        <v>9</v>
      </c>
      <c r="L12" s="24">
        <f ca="1">SUMIF(Jogos!$S$1:$V$51, $D12, Jogos!$V$1:$V$51)+SUMIF(Jogos!$U$1:$W$51, $D12, Jogos!$W$1:$W$51)</f>
        <v>8</v>
      </c>
      <c r="M12" s="24">
        <f t="shared" ca="1" si="4"/>
        <v>1</v>
      </c>
      <c r="N12" s="24">
        <f t="shared" ca="1" si="5"/>
        <v>50.930108879999999</v>
      </c>
      <c r="O12" s="26">
        <v>7</v>
      </c>
      <c r="P12" s="26">
        <f t="shared" ca="1" si="6"/>
        <v>50.930109000000002</v>
      </c>
      <c r="Q12" s="26">
        <f t="shared" ca="1" si="7"/>
        <v>3</v>
      </c>
    </row>
    <row r="14" spans="1:19" ht="25.5" x14ac:dyDescent="0.5">
      <c r="A14" s="24" t="s">
        <v>29</v>
      </c>
      <c r="B14" s="24" t="s">
        <v>21</v>
      </c>
      <c r="C14" s="28" t="s">
        <v>21</v>
      </c>
      <c r="D14" s="29" t="s">
        <v>30</v>
      </c>
      <c r="E14" s="31" t="s">
        <v>31</v>
      </c>
      <c r="F14" s="31" t="s">
        <v>32</v>
      </c>
      <c r="G14" s="31" t="s">
        <v>11</v>
      </c>
      <c r="H14" s="31" t="s">
        <v>12</v>
      </c>
      <c r="I14" s="31" t="s">
        <v>13</v>
      </c>
      <c r="J14" s="31" t="s">
        <v>14</v>
      </c>
      <c r="K14" s="31" t="s">
        <v>33</v>
      </c>
      <c r="L14" s="31" t="s">
        <v>34</v>
      </c>
      <c r="M14" s="31" t="s">
        <v>35</v>
      </c>
      <c r="N14" s="30" t="s">
        <v>36</v>
      </c>
    </row>
    <row r="15" spans="1:19" x14ac:dyDescent="0.15">
      <c r="A15" s="24" t="str">
        <f t="shared" ref="A15:A21" ca="1" si="8">CONCATENATE(C15,B15)</f>
        <v>5B</v>
      </c>
      <c r="B15" s="24" t="s">
        <v>21</v>
      </c>
      <c r="C15" s="24">
        <f t="shared" ref="C15:C21" ca="1" si="9">IF(SUM($G$15:$G$21)=0,0,_xlfn.RANK.EQ(N15,$N$15:$N$21))</f>
        <v>5</v>
      </c>
      <c r="D15" s="25" t="str">
        <f>VLOOKUP($O15, Equipes!$A$3:$B$16, 2, FALSE)</f>
        <v>MIL</v>
      </c>
      <c r="E15" s="32">
        <f t="shared" ref="E15:E21" si="10">IF(G15=0,0,(F15)/(G15*3))</f>
        <v>0.27777777777777779</v>
      </c>
      <c r="F15" s="24">
        <f t="shared" ref="F15:F21" si="11">(H15*3)+(I15*1)</f>
        <v>5</v>
      </c>
      <c r="G15" s="24">
        <f>COUNTIF(Jogos!$M$1:$N$51, $D15)</f>
        <v>6</v>
      </c>
      <c r="H15" s="24">
        <f>COUNTIF(Jogos!$O$1:$O$51, $D15)</f>
        <v>1</v>
      </c>
      <c r="I15" s="24">
        <f>COUNTIF(Jogos!$P$1:$Q$51, $D15)</f>
        <v>2</v>
      </c>
      <c r="J15" s="24">
        <f>COUNTIF(Jogos!$R$1:$R$51, $D15)</f>
        <v>3</v>
      </c>
      <c r="K15" s="24">
        <f ca="1">SUMIF(Jogos!$S$1:$T$51, $D15, Jogos!$T$1:$T$51)+SUMIF(Jogos!$U$1:$V$51, $D15, Jogos!$V$1:$V$51)</f>
        <v>4</v>
      </c>
      <c r="L15" s="24">
        <f ca="1">SUMIF(Jogos!$S$1:$V$51, $D15, Jogos!$V$1:$V$51)+SUMIF(Jogos!$U$1:$W$51, $D15, Jogos!$W$1:$W$51)</f>
        <v>10</v>
      </c>
      <c r="M15" s="24">
        <f t="shared" ref="M15:M21" ca="1" si="12">K15-L15</f>
        <v>-6</v>
      </c>
      <c r="N15" s="24">
        <f t="shared" ref="N15:N21" ca="1" si="13">(E15*E$3+F15*F$3+H15*H$3+M15*M$3+K15*K$3)/(E$3/100)-ROW(N15)/E$3</f>
        <v>28.287181627777777</v>
      </c>
      <c r="O15" s="26">
        <v>8</v>
      </c>
      <c r="P15" s="26">
        <f t="shared" ref="P15:P21" ca="1" si="14">(E15*E$3+F15*F$3+H15*H$3+M15*M$3+K15*K$3)/(E$3/100)</f>
        <v>28.287181777777779</v>
      </c>
      <c r="Q15" s="26">
        <f t="shared" ref="Q15:Q21" ca="1" si="15">IF(SUM($G$15:$G$21)=0,0,_xlfn.RANK.EQ(P15,$P$15:$P$21))</f>
        <v>5</v>
      </c>
    </row>
    <row r="16" spans="1:19" x14ac:dyDescent="0.15">
      <c r="A16" s="24" t="str">
        <f t="shared" ca="1" si="8"/>
        <v>2B</v>
      </c>
      <c r="B16" s="24" t="s">
        <v>21</v>
      </c>
      <c r="C16" s="24">
        <f t="shared" ca="1" si="9"/>
        <v>2</v>
      </c>
      <c r="D16" s="25" t="str">
        <f>VLOOKUP($O16, Equipes!$A$3:$B$16, 2, FALSE)</f>
        <v>BAY</v>
      </c>
      <c r="E16" s="32">
        <f t="shared" si="10"/>
        <v>0.83333333333333337</v>
      </c>
      <c r="F16" s="24">
        <f t="shared" si="11"/>
        <v>15</v>
      </c>
      <c r="G16" s="24">
        <f>COUNTIF(Jogos!$M$1:$N$51, $D16)</f>
        <v>6</v>
      </c>
      <c r="H16" s="24">
        <f>COUNTIF(Jogos!$O$1:$O$51, $D16)</f>
        <v>5</v>
      </c>
      <c r="I16" s="24">
        <f>COUNTIF(Jogos!$P$1:$Q$51, $D16)</f>
        <v>0</v>
      </c>
      <c r="J16" s="24">
        <f>COUNTIF(Jogos!$R$1:$R$51, $D16)</f>
        <v>1</v>
      </c>
      <c r="K16" s="24">
        <f ca="1">SUMIF(Jogos!$S$1:$T$51, $D16, Jogos!$T$1:$T$51)+SUMIF(Jogos!$U$1:$V$51, $D16, Jogos!$V$1:$V$51)</f>
        <v>18</v>
      </c>
      <c r="L16" s="24">
        <f ca="1">SUMIF(Jogos!$S$1:$V$51, $D16, Jogos!$V$1:$V$51)+SUMIF(Jogos!$U$1:$W$51, $D16, Jogos!$W$1:$W$51)</f>
        <v>8</v>
      </c>
      <c r="M16" s="24">
        <f t="shared" ca="1" si="12"/>
        <v>10</v>
      </c>
      <c r="N16" s="24">
        <f t="shared" ca="1" si="13"/>
        <v>84.884351173333343</v>
      </c>
      <c r="O16" s="26">
        <v>9</v>
      </c>
      <c r="P16" s="26">
        <f t="shared" ca="1" si="14"/>
        <v>84.884351333333342</v>
      </c>
      <c r="Q16" s="26">
        <f t="shared" ca="1" si="15"/>
        <v>2</v>
      </c>
    </row>
    <row r="17" spans="1:17" x14ac:dyDescent="0.15">
      <c r="A17" s="24" t="str">
        <f t="shared" ca="1" si="8"/>
        <v>7B</v>
      </c>
      <c r="B17" s="24" t="s">
        <v>21</v>
      </c>
      <c r="C17" s="24">
        <f t="shared" ca="1" si="9"/>
        <v>7</v>
      </c>
      <c r="D17" s="25" t="str">
        <f>VLOOKUP($O17, Equipes!$A$3:$B$16, 2, FALSE)</f>
        <v>NEW</v>
      </c>
      <c r="E17" s="32">
        <f t="shared" si="10"/>
        <v>0.1111111111111111</v>
      </c>
      <c r="F17" s="24">
        <f t="shared" si="11"/>
        <v>2</v>
      </c>
      <c r="G17" s="24">
        <f>COUNTIF(Jogos!$M$1:$N$51, $D17)</f>
        <v>6</v>
      </c>
      <c r="H17" s="24">
        <f>COUNTIF(Jogos!$O$1:$O$51, $D17)</f>
        <v>0</v>
      </c>
      <c r="I17" s="24">
        <f>COUNTIF(Jogos!$P$1:$Q$51, $D17)</f>
        <v>2</v>
      </c>
      <c r="J17" s="24">
        <f>COUNTIF(Jogos!$R$1:$R$51, $D17)</f>
        <v>4</v>
      </c>
      <c r="K17" s="24">
        <f ca="1">SUMIF(Jogos!$S$1:$T$51, $D17, Jogos!$T$1:$T$51)+SUMIF(Jogos!$U$1:$V$51, $D17, Jogos!$V$1:$V$51)</f>
        <v>4</v>
      </c>
      <c r="L17" s="24">
        <f ca="1">SUMIF(Jogos!$S$1:$V$51, $D17, Jogos!$V$1:$V$51)+SUMIF(Jogos!$U$1:$W$51, $D17, Jogos!$W$1:$W$51)</f>
        <v>16</v>
      </c>
      <c r="M17" s="24">
        <f t="shared" ca="1" si="12"/>
        <v>-12</v>
      </c>
      <c r="N17" s="24">
        <f t="shared" ca="1" si="13"/>
        <v>11.30991494111111</v>
      </c>
      <c r="O17" s="26">
        <v>10</v>
      </c>
      <c r="P17" s="26">
        <f t="shared" ca="1" si="14"/>
        <v>11.30991511111111</v>
      </c>
      <c r="Q17" s="26">
        <f t="shared" ca="1" si="15"/>
        <v>7</v>
      </c>
    </row>
    <row r="18" spans="1:17" x14ac:dyDescent="0.15">
      <c r="A18" s="24" t="str">
        <f t="shared" ca="1" si="8"/>
        <v>4B</v>
      </c>
      <c r="B18" s="24" t="s">
        <v>21</v>
      </c>
      <c r="C18" s="24">
        <f t="shared" ca="1" si="9"/>
        <v>4</v>
      </c>
      <c r="D18" s="25" t="str">
        <f>VLOOKUP($O18, Equipes!$A$3:$B$16, 2, FALSE)</f>
        <v>ESP</v>
      </c>
      <c r="E18" s="32">
        <f t="shared" si="10"/>
        <v>0.33333333333333331</v>
      </c>
      <c r="F18" s="24">
        <f t="shared" si="11"/>
        <v>6</v>
      </c>
      <c r="G18" s="24">
        <f>COUNTIF(Jogos!$M$1:$N$51, $D18)</f>
        <v>6</v>
      </c>
      <c r="H18" s="24">
        <f>COUNTIF(Jogos!$O$1:$O$51, $D18)</f>
        <v>2</v>
      </c>
      <c r="I18" s="24">
        <f>COUNTIF(Jogos!$P$1:$Q$51, $D18)</f>
        <v>0</v>
      </c>
      <c r="J18" s="24">
        <f>COUNTIF(Jogos!$R$1:$R$51, $D18)</f>
        <v>4</v>
      </c>
      <c r="K18" s="24">
        <f ca="1">SUMIF(Jogos!$S$1:$T$51, $D18, Jogos!$T$1:$T$51)+SUMIF(Jogos!$U$1:$V$51, $D18, Jogos!$V$1:$V$51)</f>
        <v>8</v>
      </c>
      <c r="L18" s="24">
        <f ca="1">SUMIF(Jogos!$S$1:$V$51, $D18, Jogos!$V$1:$V$51)+SUMIF(Jogos!$U$1:$W$51, $D18, Jogos!$W$1:$W$51)</f>
        <v>14</v>
      </c>
      <c r="M18" s="24">
        <f t="shared" ca="1" si="12"/>
        <v>-6</v>
      </c>
      <c r="N18" s="24">
        <f t="shared" ca="1" si="13"/>
        <v>33.952741153333328</v>
      </c>
      <c r="O18" s="26">
        <v>11</v>
      </c>
      <c r="P18" s="26">
        <f t="shared" ca="1" si="14"/>
        <v>33.952741333333329</v>
      </c>
      <c r="Q18" s="26">
        <f t="shared" ca="1" si="15"/>
        <v>4</v>
      </c>
    </row>
    <row r="19" spans="1:17" x14ac:dyDescent="0.15">
      <c r="A19" s="24" t="str">
        <f t="shared" ca="1" si="8"/>
        <v>1B</v>
      </c>
      <c r="B19" s="24" t="s">
        <v>21</v>
      </c>
      <c r="C19" s="24">
        <f t="shared" ca="1" si="9"/>
        <v>1</v>
      </c>
      <c r="D19" s="25" t="str">
        <f>VLOOKUP($O19, Equipes!$A$3:$B$16, 2, FALSE)</f>
        <v>ROM</v>
      </c>
      <c r="E19" s="32">
        <f t="shared" si="10"/>
        <v>0.83333333333333337</v>
      </c>
      <c r="F19" s="24">
        <f t="shared" si="11"/>
        <v>15</v>
      </c>
      <c r="G19" s="24">
        <f>COUNTIF(Jogos!$M$1:$N$51, $D19)</f>
        <v>6</v>
      </c>
      <c r="H19" s="24">
        <f>COUNTIF(Jogos!$O$1:$O$51, $D19)</f>
        <v>5</v>
      </c>
      <c r="I19" s="24">
        <f>COUNTIF(Jogos!$P$1:$Q$51, $D19)</f>
        <v>0</v>
      </c>
      <c r="J19" s="24">
        <f>COUNTIF(Jogos!$R$1:$R$51, $D19)</f>
        <v>1</v>
      </c>
      <c r="K19" s="24">
        <f ca="1">SUMIF(Jogos!$S$1:$T$51, $D19, Jogos!$T$1:$T$51)+SUMIF(Jogos!$U$1:$V$51, $D19, Jogos!$V$1:$V$51)</f>
        <v>23</v>
      </c>
      <c r="L19" s="24">
        <f ca="1">SUMIF(Jogos!$S$1:$V$51, $D19, Jogos!$V$1:$V$51)+SUMIF(Jogos!$U$1:$W$51, $D19, Jogos!$W$1:$W$51)</f>
        <v>11</v>
      </c>
      <c r="M19" s="24">
        <f t="shared" ca="1" si="12"/>
        <v>12</v>
      </c>
      <c r="N19" s="24">
        <f t="shared" ca="1" si="13"/>
        <v>84.884556143333356</v>
      </c>
      <c r="O19" s="26">
        <v>12</v>
      </c>
      <c r="P19" s="26">
        <f t="shared" ca="1" si="14"/>
        <v>84.88455633333335</v>
      </c>
      <c r="Q19" s="26">
        <f t="shared" ca="1" si="15"/>
        <v>1</v>
      </c>
    </row>
    <row r="20" spans="1:17" x14ac:dyDescent="0.15">
      <c r="A20" s="24" t="str">
        <f t="shared" ca="1" si="8"/>
        <v>6B</v>
      </c>
      <c r="B20" s="24" t="s">
        <v>21</v>
      </c>
      <c r="C20" s="24">
        <f t="shared" ca="1" si="9"/>
        <v>6</v>
      </c>
      <c r="D20" s="25" t="str">
        <f>VLOOKUP($O20, Equipes!$A$3:$B$16, 2, FALSE)</f>
        <v>POR</v>
      </c>
      <c r="E20" s="32">
        <f t="shared" si="10"/>
        <v>0.1111111111111111</v>
      </c>
      <c r="F20" s="24">
        <f t="shared" si="11"/>
        <v>2</v>
      </c>
      <c r="G20" s="24">
        <f>COUNTIF(Jogos!$M$1:$N$51, $D20)</f>
        <v>6</v>
      </c>
      <c r="H20" s="24">
        <f>COUNTIF(Jogos!$O$1:$O$51, $D20)</f>
        <v>0</v>
      </c>
      <c r="I20" s="24">
        <f>COUNTIF(Jogos!$P$1:$Q$51, $D20)</f>
        <v>2</v>
      </c>
      <c r="J20" s="24">
        <f>COUNTIF(Jogos!$R$1:$R$51, $D20)</f>
        <v>4</v>
      </c>
      <c r="K20" s="24">
        <f ca="1">SUMIF(Jogos!$S$1:$T$51, $D20, Jogos!$T$1:$T$51)+SUMIF(Jogos!$U$1:$V$51, $D20, Jogos!$V$1:$V$51)</f>
        <v>3</v>
      </c>
      <c r="L20" s="24">
        <f ca="1">SUMIF(Jogos!$S$1:$V$51, $D20, Jogos!$V$1:$V$51)+SUMIF(Jogos!$U$1:$W$51, $D20, Jogos!$W$1:$W$51)</f>
        <v>10</v>
      </c>
      <c r="M20" s="24">
        <f t="shared" ca="1" si="12"/>
        <v>-7</v>
      </c>
      <c r="N20" s="24">
        <f t="shared" ca="1" si="13"/>
        <v>11.310413911111109</v>
      </c>
      <c r="O20" s="26">
        <v>13</v>
      </c>
      <c r="P20" s="26">
        <f t="shared" ca="1" si="14"/>
        <v>11.310414111111109</v>
      </c>
      <c r="Q20" s="26">
        <f t="shared" ca="1" si="15"/>
        <v>6</v>
      </c>
    </row>
    <row r="21" spans="1:17" x14ac:dyDescent="0.15">
      <c r="A21" s="24" t="str">
        <f t="shared" ca="1" si="8"/>
        <v>3B</v>
      </c>
      <c r="B21" s="24" t="s">
        <v>21</v>
      </c>
      <c r="C21" s="24">
        <f t="shared" ca="1" si="9"/>
        <v>3</v>
      </c>
      <c r="D21" s="25" t="str">
        <f>VLOOKUP($O21, Equipes!$A$3:$B$16, 2, FALSE)</f>
        <v>IMI</v>
      </c>
      <c r="E21" s="32">
        <f t="shared" si="10"/>
        <v>0.83333333333333337</v>
      </c>
      <c r="F21" s="24">
        <f t="shared" si="11"/>
        <v>15</v>
      </c>
      <c r="G21" s="24">
        <f>COUNTIF(Jogos!$M$1:$N$51, $D21)</f>
        <v>6</v>
      </c>
      <c r="H21" s="24">
        <f>COUNTIF(Jogos!$O$1:$O$51, $D21)</f>
        <v>5</v>
      </c>
      <c r="I21" s="24">
        <f>COUNTIF(Jogos!$P$1:$Q$51, $D21)</f>
        <v>0</v>
      </c>
      <c r="J21" s="24">
        <f>COUNTIF(Jogos!$R$1:$R$51, $D21)</f>
        <v>1</v>
      </c>
      <c r="K21" s="24">
        <f ca="1">SUMIF(Jogos!$S$1:$T$51, $D21, Jogos!$T$1:$T$51)+SUMIF(Jogos!$U$1:$V$51, $D21, Jogos!$V$1:$V$51)</f>
        <v>19</v>
      </c>
      <c r="L21" s="24">
        <f ca="1">SUMIF(Jogos!$S$1:$V$51, $D21, Jogos!$V$1:$V$51)+SUMIF(Jogos!$U$1:$W$51, $D21, Jogos!$W$1:$W$51)</f>
        <v>10</v>
      </c>
      <c r="M21" s="24">
        <f t="shared" ca="1" si="12"/>
        <v>9</v>
      </c>
      <c r="N21" s="24">
        <f t="shared" ca="1" si="13"/>
        <v>84.884252123333354</v>
      </c>
      <c r="O21" s="26">
        <v>14</v>
      </c>
      <c r="P21" s="26">
        <f t="shared" ca="1" si="14"/>
        <v>84.88425233333335</v>
      </c>
      <c r="Q21" s="26">
        <f t="shared" ca="1" si="15"/>
        <v>3</v>
      </c>
    </row>
    <row r="23" spans="1:17" ht="25.5" x14ac:dyDescent="0.5">
      <c r="C23" s="55" t="s">
        <v>39</v>
      </c>
      <c r="D23" s="29" t="s">
        <v>30</v>
      </c>
    </row>
    <row r="24" spans="1:17" x14ac:dyDescent="0.15">
      <c r="B24" s="24" t="s">
        <v>40</v>
      </c>
      <c r="C24" s="24">
        <f t="shared" ref="C24:C31" ca="1" si="16">_xlfn.RANK.EQ(E24,$E$24:$E$31)</f>
        <v>4</v>
      </c>
      <c r="D24" s="25" t="str">
        <f t="shared" ref="D24:D31" ca="1" si="17">VLOOKUP($B24,$A$5:$P$21,4,FALSE)</f>
        <v>PSG</v>
      </c>
      <c r="E24" s="24">
        <f t="shared" ref="E24:E31" ca="1" si="18">VLOOKUP($B24,$A$5:$P$21,14,FALSE)</f>
        <v>84.88395027333334</v>
      </c>
    </row>
    <row r="25" spans="1:17" x14ac:dyDescent="0.15">
      <c r="B25" s="24" t="s">
        <v>41</v>
      </c>
      <c r="C25" s="24">
        <f t="shared" ca="1" si="16"/>
        <v>1</v>
      </c>
      <c r="D25" s="25" t="str">
        <f t="shared" ca="1" si="17"/>
        <v>ROM</v>
      </c>
      <c r="E25" s="24">
        <f t="shared" ca="1" si="18"/>
        <v>84.884556143333356</v>
      </c>
    </row>
    <row r="26" spans="1:17" x14ac:dyDescent="0.15">
      <c r="B26" s="24" t="s">
        <v>42</v>
      </c>
      <c r="C26" s="24">
        <f t="shared" ca="1" si="16"/>
        <v>5</v>
      </c>
      <c r="D26" s="25" t="str">
        <f t="shared" ca="1" si="17"/>
        <v>JUV</v>
      </c>
      <c r="E26" s="24">
        <f t="shared" ca="1" si="18"/>
        <v>62.241321041111121</v>
      </c>
    </row>
    <row r="27" spans="1:17" x14ac:dyDescent="0.15">
      <c r="B27" s="24" t="s">
        <v>43</v>
      </c>
      <c r="C27" s="24">
        <f t="shared" ca="1" si="16"/>
        <v>2</v>
      </c>
      <c r="D27" s="25" t="str">
        <f t="shared" ca="1" si="17"/>
        <v>BAY</v>
      </c>
      <c r="E27" s="24">
        <f t="shared" ca="1" si="18"/>
        <v>84.884351173333343</v>
      </c>
    </row>
    <row r="28" spans="1:17" x14ac:dyDescent="0.15">
      <c r="B28" s="24" t="s">
        <v>44</v>
      </c>
      <c r="C28" s="24">
        <f t="shared" ca="1" si="16"/>
        <v>6</v>
      </c>
      <c r="D28" s="25" t="str">
        <f t="shared" ca="1" si="17"/>
        <v>WOL</v>
      </c>
      <c r="E28" s="24">
        <f t="shared" ca="1" si="18"/>
        <v>50.930108879999999</v>
      </c>
    </row>
    <row r="29" spans="1:17" x14ac:dyDescent="0.15">
      <c r="B29" s="24" t="s">
        <v>45</v>
      </c>
      <c r="C29" s="24">
        <f t="shared" ca="1" si="16"/>
        <v>3</v>
      </c>
      <c r="D29" s="25" t="str">
        <f t="shared" ca="1" si="17"/>
        <v>IMI</v>
      </c>
      <c r="E29" s="24">
        <f t="shared" ca="1" si="18"/>
        <v>84.884252123333354</v>
      </c>
    </row>
    <row r="30" spans="1:17" x14ac:dyDescent="0.15">
      <c r="B30" s="24" t="s">
        <v>46</v>
      </c>
      <c r="C30" s="24">
        <f t="shared" ca="1" si="16"/>
        <v>7</v>
      </c>
      <c r="D30" s="25" t="str">
        <f t="shared" ca="1" si="17"/>
        <v>REA</v>
      </c>
      <c r="E30" s="24">
        <f t="shared" ca="1" si="18"/>
        <v>45.264863344444436</v>
      </c>
    </row>
    <row r="31" spans="1:17" x14ac:dyDescent="0.15">
      <c r="B31" s="24" t="s">
        <v>47</v>
      </c>
      <c r="C31" s="24">
        <f t="shared" ca="1" si="16"/>
        <v>8</v>
      </c>
      <c r="D31" s="25" t="str">
        <f t="shared" ca="1" si="17"/>
        <v>ESP</v>
      </c>
      <c r="E31" s="24">
        <f t="shared" ca="1" si="18"/>
        <v>33.952741153333328</v>
      </c>
    </row>
    <row r="34" spans="2:5" ht="25.5" x14ac:dyDescent="0.5">
      <c r="C34" s="56" t="s">
        <v>48</v>
      </c>
      <c r="D34" s="29" t="s">
        <v>30</v>
      </c>
    </row>
    <row r="35" spans="2:5" x14ac:dyDescent="0.15">
      <c r="B35" s="24" t="s">
        <v>49</v>
      </c>
      <c r="C35" s="24">
        <f t="shared" ref="C35:C40" ca="1" si="19">_xlfn.RANK.EQ(E35,$E$35:$E$40) + 8</f>
        <v>9</v>
      </c>
      <c r="D35" s="25" t="str">
        <f t="shared" ref="D35:D40" ca="1" si="20">VLOOKUP($B35,$A$5:$P$21,4,FALSE)</f>
        <v>BAR</v>
      </c>
      <c r="E35" s="24">
        <f t="shared" ref="E35:E40" ca="1" si="21">VLOOKUP($B35,$A$5:$P$21,14,FALSE)</f>
        <v>39.608600778888885</v>
      </c>
    </row>
    <row r="36" spans="2:5" x14ac:dyDescent="0.15">
      <c r="B36" s="24" t="s">
        <v>50</v>
      </c>
      <c r="C36" s="24">
        <f t="shared" ca="1" si="19"/>
        <v>10</v>
      </c>
      <c r="D36" s="25" t="str">
        <f t="shared" ca="1" si="20"/>
        <v>NAP</v>
      </c>
      <c r="E36" s="24">
        <f t="shared" ca="1" si="21"/>
        <v>28.287589687777778</v>
      </c>
    </row>
    <row r="37" spans="2:5" x14ac:dyDescent="0.15">
      <c r="B37" s="24" t="s">
        <v>51</v>
      </c>
      <c r="C37" s="24">
        <f t="shared" ca="1" si="19"/>
        <v>12</v>
      </c>
      <c r="D37" s="25" t="str">
        <f t="shared" ca="1" si="20"/>
        <v>BOR</v>
      </c>
      <c r="E37" s="24">
        <f t="shared" ca="1" si="21"/>
        <v>16.965874586666665</v>
      </c>
    </row>
    <row r="38" spans="2:5" x14ac:dyDescent="0.15">
      <c r="B38" s="24" t="s">
        <v>52</v>
      </c>
      <c r="C38" s="24">
        <f t="shared" ca="1" si="19"/>
        <v>11</v>
      </c>
      <c r="D38" s="25" t="str">
        <f t="shared" ca="1" si="20"/>
        <v>MIL</v>
      </c>
      <c r="E38" s="24">
        <f t="shared" ca="1" si="21"/>
        <v>28.287181627777777</v>
      </c>
    </row>
    <row r="39" spans="2:5" x14ac:dyDescent="0.15">
      <c r="B39" s="24" t="s">
        <v>53</v>
      </c>
      <c r="C39" s="24">
        <f t="shared" ca="1" si="19"/>
        <v>13</v>
      </c>
      <c r="D39" s="25" t="str">
        <f t="shared" ca="1" si="20"/>
        <v>POR</v>
      </c>
      <c r="E39" s="24">
        <f t="shared" ca="1" si="21"/>
        <v>11.310413911111109</v>
      </c>
    </row>
    <row r="40" spans="2:5" x14ac:dyDescent="0.15">
      <c r="B40" s="24" t="s">
        <v>54</v>
      </c>
      <c r="C40" s="24">
        <f t="shared" ca="1" si="19"/>
        <v>14</v>
      </c>
      <c r="D40" s="25" t="str">
        <f t="shared" ca="1" si="20"/>
        <v>NEW</v>
      </c>
      <c r="E40" s="24">
        <f t="shared" ca="1" si="21"/>
        <v>11.30991494111111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6F8A-CB87-4F6C-AB86-CF264C2F36A8}">
  <dimension ref="A1:M19"/>
  <sheetViews>
    <sheetView showGridLines="0" workbookViewId="0">
      <pane ySplit="1" topLeftCell="A2" activePane="bottomLeft" state="frozen"/>
      <selection pane="bottomLeft" activeCell="G6" sqref="G6:K6"/>
    </sheetView>
  </sheetViews>
  <sheetFormatPr defaultRowHeight="17.25" x14ac:dyDescent="0.3"/>
  <cols>
    <col min="1" max="1" width="1.7109375" style="37" customWidth="1"/>
    <col min="2" max="2" width="7.7109375" style="54" customWidth="1"/>
    <col min="3" max="3" width="9" style="39" customWidth="1"/>
    <col min="4" max="12" width="8.7109375" style="40" customWidth="1"/>
    <col min="13" max="13" width="9.140625" style="41"/>
    <col min="14" max="16384" width="9.140625" style="33"/>
  </cols>
  <sheetData>
    <row r="1" spans="1:13" ht="20.25" x14ac:dyDescent="0.3">
      <c r="B1" s="38" t="s">
        <v>38</v>
      </c>
    </row>
    <row r="2" spans="1:13" x14ac:dyDescent="0.3">
      <c r="B2" s="42" t="s">
        <v>1</v>
      </c>
    </row>
    <row r="3" spans="1:13" x14ac:dyDescent="0.3">
      <c r="B3" s="43" t="s">
        <v>20</v>
      </c>
      <c r="C3" s="44" t="s">
        <v>30</v>
      </c>
      <c r="D3" s="45" t="s">
        <v>31</v>
      </c>
      <c r="E3" s="45" t="s">
        <v>32</v>
      </c>
      <c r="F3" s="45" t="s">
        <v>11</v>
      </c>
      <c r="G3" s="45" t="s">
        <v>12</v>
      </c>
      <c r="H3" s="45" t="s">
        <v>13</v>
      </c>
      <c r="I3" s="45" t="s">
        <v>14</v>
      </c>
      <c r="J3" s="45" t="s">
        <v>33</v>
      </c>
      <c r="K3" s="45" t="s">
        <v>34</v>
      </c>
      <c r="L3" s="45" t="s">
        <v>35</v>
      </c>
    </row>
    <row r="4" spans="1:13" x14ac:dyDescent="0.3">
      <c r="A4" s="37">
        <v>1</v>
      </c>
      <c r="B4" s="46">
        <f ca="1">IFERROR(VLOOKUP($A4,ClassGrupFases!$C$6:$Q$13,15,FALSE),"")</f>
        <v>1</v>
      </c>
      <c r="C4" s="47" t="str">
        <f ca="1">IFERROR(VLOOKUP($A4,ClassGrupFases!$C$6:$Q$13,2,FALSE),"")</f>
        <v>PSG</v>
      </c>
      <c r="D4" s="48">
        <f ca="1">IFERROR(VLOOKUP($A4,ClassGrupFases!$C$6:$Q$13,3,FALSE),"")</f>
        <v>0.83333333333333337</v>
      </c>
      <c r="E4" s="49">
        <f ca="1">IFERROR(VLOOKUP($A4,ClassGrupFases!$C$6:$Q$13,4,FALSE),"")</f>
        <v>15</v>
      </c>
      <c r="F4" s="49">
        <f ca="1">IFERROR(VLOOKUP($A4,ClassGrupFases!$C$6:$Q$13,5,FALSE),"")</f>
        <v>6</v>
      </c>
      <c r="G4" s="49">
        <f ca="1">IFERROR(VLOOKUP($A4,ClassGrupFases!$C$6:$Q$13,6,FALSE),"")</f>
        <v>5</v>
      </c>
      <c r="H4" s="49">
        <f ca="1">IFERROR(VLOOKUP($A4,ClassGrupFases!$C$6:$Q$13,7,FALSE),"")</f>
        <v>0</v>
      </c>
      <c r="I4" s="49">
        <f ca="1">IFERROR(VLOOKUP($A4,ClassGrupFases!$C$6:$Q$13,8,FALSE),"")</f>
        <v>1</v>
      </c>
      <c r="J4" s="49">
        <f ca="1">IFERROR(VLOOKUP($A4,ClassGrupFases!$C$6:$Q$13,9,FALSE),"")</f>
        <v>17</v>
      </c>
      <c r="K4" s="49">
        <f ca="1">IFERROR(VLOOKUP($A4,ClassGrupFases!$C$6:$Q$13,10,FALSE),"")</f>
        <v>11</v>
      </c>
      <c r="L4" s="49">
        <f ca="1">IFERROR(VLOOKUP($A4,ClassGrupFases!$C$6:$Q$13,11,FALSE),"")</f>
        <v>6</v>
      </c>
      <c r="M4" s="41">
        <f ca="1">IFERROR(VLOOKUP($A4,ClassGrupFases!$C$6:$Q$13,1,FALSE),"")</f>
        <v>1</v>
      </c>
    </row>
    <row r="5" spans="1:13" x14ac:dyDescent="0.3">
      <c r="A5" s="37">
        <v>2</v>
      </c>
      <c r="B5" s="46">
        <f ca="1">IFERROR(VLOOKUP($A5,ClassGrupFases!$C$6:$Q$13,15,FALSE),"")</f>
        <v>2</v>
      </c>
      <c r="C5" s="47" t="str">
        <f ca="1">IFERROR(VLOOKUP($A5,ClassGrupFases!$C$6:$Q$13,2,FALSE),"")</f>
        <v>JUV</v>
      </c>
      <c r="D5" s="48">
        <f ca="1">IFERROR(VLOOKUP($A5,ClassGrupFases!$C$6:$Q$13,3,FALSE),"")</f>
        <v>0.61111111111111116</v>
      </c>
      <c r="E5" s="49">
        <f ca="1">IFERROR(VLOOKUP($A5,ClassGrupFases!$C$6:$Q$13,4,FALSE),"")</f>
        <v>11</v>
      </c>
      <c r="F5" s="49">
        <f ca="1">IFERROR(VLOOKUP($A5,ClassGrupFases!$C$6:$Q$13,5,FALSE),"")</f>
        <v>6</v>
      </c>
      <c r="G5" s="49">
        <f ca="1">IFERROR(VLOOKUP($A5,ClassGrupFases!$C$6:$Q$13,6,FALSE),"")</f>
        <v>3</v>
      </c>
      <c r="H5" s="49">
        <f ca="1">IFERROR(VLOOKUP($A5,ClassGrupFases!$C$6:$Q$13,7,FALSE),"")</f>
        <v>2</v>
      </c>
      <c r="I5" s="49">
        <f ca="1">IFERROR(VLOOKUP($A5,ClassGrupFases!$C$6:$Q$13,8,FALSE),"")</f>
        <v>1</v>
      </c>
      <c r="J5" s="49">
        <f ca="1">IFERROR(VLOOKUP($A5,ClassGrupFases!$C$6:$Q$13,9,FALSE),"")</f>
        <v>10</v>
      </c>
      <c r="K5" s="49">
        <f ca="1">IFERROR(VLOOKUP($A5,ClassGrupFases!$C$6:$Q$13,10,FALSE),"")</f>
        <v>8</v>
      </c>
      <c r="L5" s="49">
        <f ca="1">IFERROR(VLOOKUP($A5,ClassGrupFases!$C$6:$Q$13,11,FALSE),"")</f>
        <v>2</v>
      </c>
      <c r="M5" s="41">
        <f ca="1">IFERROR(VLOOKUP($A5,ClassGrupFases!$C$6:$Q$13,1,FALSE),"")</f>
        <v>2</v>
      </c>
    </row>
    <row r="6" spans="1:13" x14ac:dyDescent="0.3">
      <c r="A6" s="37">
        <v>3</v>
      </c>
      <c r="B6" s="46">
        <f ca="1">IFERROR(VLOOKUP($A6,ClassGrupFases!$C$6:$Q$13,15,FALSE),"")</f>
        <v>3</v>
      </c>
      <c r="C6" s="47" t="str">
        <f ca="1">IFERROR(VLOOKUP($A6,ClassGrupFases!$C$6:$Q$13,2,FALSE),"")</f>
        <v>WOL</v>
      </c>
      <c r="D6" s="48">
        <f ca="1">IFERROR(VLOOKUP($A6,ClassGrupFases!$C$6:$Q$13,3,FALSE),"")</f>
        <v>0.5</v>
      </c>
      <c r="E6" s="49">
        <f ca="1">IFERROR(VLOOKUP($A6,ClassGrupFases!$C$6:$Q$13,4,FALSE),"")</f>
        <v>9</v>
      </c>
      <c r="F6" s="49">
        <f ca="1">IFERROR(VLOOKUP($A6,ClassGrupFases!$C$6:$Q$13,5,FALSE),"")</f>
        <v>6</v>
      </c>
      <c r="G6" s="49">
        <f ca="1">IFERROR(VLOOKUP($A6,ClassGrupFases!$C$6:$Q$13,6,FALSE),"")</f>
        <v>3</v>
      </c>
      <c r="H6" s="49">
        <f ca="1">IFERROR(VLOOKUP($A6,ClassGrupFases!$C$6:$Q$13,7,FALSE),"")</f>
        <v>0</v>
      </c>
      <c r="I6" s="49">
        <f ca="1">IFERROR(VLOOKUP($A6,ClassGrupFases!$C$6:$Q$13,8,FALSE),"")</f>
        <v>3</v>
      </c>
      <c r="J6" s="49">
        <f ca="1">IFERROR(VLOOKUP($A6,ClassGrupFases!$C$6:$Q$13,9,FALSE),"")</f>
        <v>9</v>
      </c>
      <c r="K6" s="49">
        <f ca="1">IFERROR(VLOOKUP($A6,ClassGrupFases!$C$6:$Q$13,10,FALSE),"")</f>
        <v>8</v>
      </c>
      <c r="L6" s="49">
        <f ca="1">IFERROR(VLOOKUP($A6,ClassGrupFases!$C$6:$Q$13,11,FALSE),"")</f>
        <v>1</v>
      </c>
      <c r="M6" s="41">
        <f ca="1">IFERROR(VLOOKUP($A6,ClassGrupFases!$C$6:$Q$13,1,FALSE),"")</f>
        <v>3</v>
      </c>
    </row>
    <row r="7" spans="1:13" x14ac:dyDescent="0.3">
      <c r="A7" s="37">
        <v>4</v>
      </c>
      <c r="B7" s="46">
        <f ca="1">IFERROR(VLOOKUP($A7,ClassGrupFases!$C$6:$Q$13,15,FALSE),"")</f>
        <v>4</v>
      </c>
      <c r="C7" s="47" t="str">
        <f ca="1">IFERROR(VLOOKUP($A7,ClassGrupFases!$C$6:$Q$13,2,FALSE),"")</f>
        <v>REA</v>
      </c>
      <c r="D7" s="48">
        <f ca="1">IFERROR(VLOOKUP($A7,ClassGrupFases!$C$6:$Q$13,3,FALSE),"")</f>
        <v>0.44444444444444442</v>
      </c>
      <c r="E7" s="49">
        <f ca="1">IFERROR(VLOOKUP($A7,ClassGrupFases!$C$6:$Q$13,4,FALSE),"")</f>
        <v>8</v>
      </c>
      <c r="F7" s="49">
        <f ca="1">IFERROR(VLOOKUP($A7,ClassGrupFases!$C$6:$Q$13,5,FALSE),"")</f>
        <v>6</v>
      </c>
      <c r="G7" s="49">
        <f ca="1">IFERROR(VLOOKUP($A7,ClassGrupFases!$C$6:$Q$13,6,FALSE),"")</f>
        <v>2</v>
      </c>
      <c r="H7" s="49">
        <f ca="1">IFERROR(VLOOKUP($A7,ClassGrupFases!$C$6:$Q$13,7,FALSE),"")</f>
        <v>2</v>
      </c>
      <c r="I7" s="49">
        <f ca="1">IFERROR(VLOOKUP($A7,ClassGrupFases!$C$6:$Q$13,8,FALSE),"")</f>
        <v>2</v>
      </c>
      <c r="J7" s="49">
        <f ca="1">IFERROR(VLOOKUP($A7,ClassGrupFases!$C$6:$Q$13,9,FALSE),"")</f>
        <v>19</v>
      </c>
      <c r="K7" s="49">
        <f ca="1">IFERROR(VLOOKUP($A7,ClassGrupFases!$C$6:$Q$13,10,FALSE),"")</f>
        <v>15</v>
      </c>
      <c r="L7" s="49">
        <f ca="1">IFERROR(VLOOKUP($A7,ClassGrupFases!$C$6:$Q$13,11,FALSE),"")</f>
        <v>4</v>
      </c>
      <c r="M7" s="41">
        <f ca="1">IFERROR(VLOOKUP($A7,ClassGrupFases!$C$6:$Q$13,1,FALSE),"")</f>
        <v>4</v>
      </c>
    </row>
    <row r="8" spans="1:13" x14ac:dyDescent="0.3">
      <c r="A8" s="37">
        <v>5</v>
      </c>
      <c r="B8" s="46">
        <f ca="1">IFERROR(VLOOKUP($A8,ClassGrupFases!$C$6:$Q$13,15,FALSE),"")</f>
        <v>5</v>
      </c>
      <c r="C8" s="47" t="str">
        <f ca="1">IFERROR(VLOOKUP($A8,ClassGrupFases!$C$6:$Q$13,2,FALSE),"")</f>
        <v>BAR</v>
      </c>
      <c r="D8" s="48">
        <f ca="1">IFERROR(VLOOKUP($A8,ClassGrupFases!$C$6:$Q$13,3,FALSE),"")</f>
        <v>0.3888888888888889</v>
      </c>
      <c r="E8" s="49">
        <f ca="1">IFERROR(VLOOKUP($A8,ClassGrupFases!$C$6:$Q$13,4,FALSE),"")</f>
        <v>7</v>
      </c>
      <c r="F8" s="49">
        <f ca="1">IFERROR(VLOOKUP($A8,ClassGrupFases!$C$6:$Q$13,5,FALSE),"")</f>
        <v>6</v>
      </c>
      <c r="G8" s="49">
        <f ca="1">IFERROR(VLOOKUP($A8,ClassGrupFases!$C$6:$Q$13,6,FALSE),"")</f>
        <v>2</v>
      </c>
      <c r="H8" s="49">
        <f ca="1">IFERROR(VLOOKUP($A8,ClassGrupFases!$C$6:$Q$13,7,FALSE),"")</f>
        <v>1</v>
      </c>
      <c r="I8" s="49">
        <f ca="1">IFERROR(VLOOKUP($A8,ClassGrupFases!$C$6:$Q$13,8,FALSE),"")</f>
        <v>3</v>
      </c>
      <c r="J8" s="49">
        <f ca="1">IFERROR(VLOOKUP($A8,ClassGrupFases!$C$6:$Q$13,9,FALSE),"")</f>
        <v>12</v>
      </c>
      <c r="K8" s="49">
        <f ca="1">IFERROR(VLOOKUP($A8,ClassGrupFases!$C$6:$Q$13,10,FALSE),"")</f>
        <v>15</v>
      </c>
      <c r="L8" s="49">
        <f ca="1">IFERROR(VLOOKUP($A8,ClassGrupFases!$C$6:$Q$13,11,FALSE),"")</f>
        <v>-3</v>
      </c>
      <c r="M8" s="41">
        <f ca="1">IFERROR(VLOOKUP($A8,ClassGrupFases!$C$6:$Q$13,1,FALSE),"")</f>
        <v>5</v>
      </c>
    </row>
    <row r="9" spans="1:13" x14ac:dyDescent="0.3">
      <c r="A9" s="37">
        <v>6</v>
      </c>
      <c r="B9" s="46">
        <f ca="1">IFERROR(VLOOKUP($A9,ClassGrupFases!$C$6:$Q$13,15,FALSE),"")</f>
        <v>6</v>
      </c>
      <c r="C9" s="47" t="str">
        <f ca="1">IFERROR(VLOOKUP($A9,ClassGrupFases!$C$6:$Q$13,2,FALSE),"")</f>
        <v>NAP</v>
      </c>
      <c r="D9" s="48">
        <f ca="1">IFERROR(VLOOKUP($A9,ClassGrupFases!$C$6:$Q$13,3,FALSE),"")</f>
        <v>0.27777777777777779</v>
      </c>
      <c r="E9" s="49">
        <f ca="1">IFERROR(VLOOKUP($A9,ClassGrupFases!$C$6:$Q$13,4,FALSE),"")</f>
        <v>5</v>
      </c>
      <c r="F9" s="49">
        <f ca="1">IFERROR(VLOOKUP($A9,ClassGrupFases!$C$6:$Q$13,5,FALSE),"")</f>
        <v>6</v>
      </c>
      <c r="G9" s="49">
        <f ca="1">IFERROR(VLOOKUP($A9,ClassGrupFases!$C$6:$Q$13,6,FALSE),"")</f>
        <v>1</v>
      </c>
      <c r="H9" s="49">
        <f ca="1">IFERROR(VLOOKUP($A9,ClassGrupFases!$C$6:$Q$13,7,FALSE),"")</f>
        <v>2</v>
      </c>
      <c r="I9" s="49">
        <f ca="1">IFERROR(VLOOKUP($A9,ClassGrupFases!$C$6:$Q$13,8,FALSE),"")</f>
        <v>3</v>
      </c>
      <c r="J9" s="49">
        <f ca="1">IFERROR(VLOOKUP($A9,ClassGrupFases!$C$6:$Q$13,9,FALSE),"")</f>
        <v>12</v>
      </c>
      <c r="K9" s="49">
        <f ca="1">IFERROR(VLOOKUP($A9,ClassGrupFases!$C$6:$Q$13,10,FALSE),"")</f>
        <v>14</v>
      </c>
      <c r="L9" s="49">
        <f ca="1">IFERROR(VLOOKUP($A9,ClassGrupFases!$C$6:$Q$13,11,FALSE),"")</f>
        <v>-2</v>
      </c>
      <c r="M9" s="41">
        <f ca="1">IFERROR(VLOOKUP($A9,ClassGrupFases!$C$6:$Q$13,1,FALSE),"")</f>
        <v>6</v>
      </c>
    </row>
    <row r="10" spans="1:13" x14ac:dyDescent="0.3">
      <c r="A10" s="37">
        <v>7</v>
      </c>
      <c r="B10" s="50">
        <f ca="1">IFERROR(VLOOKUP($A10,ClassGrupFases!$C$6:$Q$13,15,FALSE),"")</f>
        <v>7</v>
      </c>
      <c r="C10" s="51" t="str">
        <f ca="1">IFERROR(VLOOKUP($A10,ClassGrupFases!$C$6:$Q$13,2,FALSE),"")</f>
        <v>BOR</v>
      </c>
      <c r="D10" s="52">
        <f ca="1">IFERROR(VLOOKUP($A10,ClassGrupFases!$C$6:$Q$13,3,FALSE),"")</f>
        <v>0.16666666666666666</v>
      </c>
      <c r="E10" s="53">
        <f ca="1">IFERROR(VLOOKUP($A10,ClassGrupFases!$C$6:$Q$13,4,FALSE),"")</f>
        <v>3</v>
      </c>
      <c r="F10" s="53">
        <f ca="1">IFERROR(VLOOKUP($A10,ClassGrupFases!$C$6:$Q$13,5,FALSE),"")</f>
        <v>6</v>
      </c>
      <c r="G10" s="53">
        <f ca="1">IFERROR(VLOOKUP($A10,ClassGrupFases!$C$6:$Q$13,6,FALSE),"")</f>
        <v>0</v>
      </c>
      <c r="H10" s="53">
        <f ca="1">IFERROR(VLOOKUP($A10,ClassGrupFases!$C$6:$Q$13,7,FALSE),"")</f>
        <v>3</v>
      </c>
      <c r="I10" s="53">
        <f ca="1">IFERROR(VLOOKUP($A10,ClassGrupFases!$C$6:$Q$13,8,FALSE),"")</f>
        <v>3</v>
      </c>
      <c r="J10" s="53">
        <f ca="1">IFERROR(VLOOKUP($A10,ClassGrupFases!$C$6:$Q$13,9,FALSE),"")</f>
        <v>8</v>
      </c>
      <c r="K10" s="53">
        <f ca="1">IFERROR(VLOOKUP($A10,ClassGrupFases!$C$6:$Q$13,10,FALSE),"")</f>
        <v>16</v>
      </c>
      <c r="L10" s="53">
        <f ca="1">IFERROR(VLOOKUP($A10,ClassGrupFases!$C$6:$Q$13,11,FALSE),"")</f>
        <v>-8</v>
      </c>
      <c r="M10" s="41">
        <f ca="1">IFERROR(VLOOKUP($A10,ClassGrupFases!$C$6:$Q$13,1,FALSE),"")</f>
        <v>7</v>
      </c>
    </row>
    <row r="12" spans="1:13" x14ac:dyDescent="0.3">
      <c r="B12" s="43" t="s">
        <v>21</v>
      </c>
      <c r="C12" s="44" t="s">
        <v>30</v>
      </c>
      <c r="D12" s="45" t="s">
        <v>31</v>
      </c>
      <c r="E12" s="45" t="s">
        <v>32</v>
      </c>
      <c r="F12" s="45" t="s">
        <v>11</v>
      </c>
      <c r="G12" s="45" t="s">
        <v>12</v>
      </c>
      <c r="H12" s="45" t="s">
        <v>13</v>
      </c>
      <c r="I12" s="45" t="s">
        <v>14</v>
      </c>
      <c r="J12" s="45" t="s">
        <v>33</v>
      </c>
      <c r="K12" s="45" t="s">
        <v>34</v>
      </c>
      <c r="L12" s="45" t="s">
        <v>35</v>
      </c>
    </row>
    <row r="13" spans="1:13" x14ac:dyDescent="0.3">
      <c r="A13" s="37">
        <v>1</v>
      </c>
      <c r="B13" s="46">
        <f ca="1">IFERROR(VLOOKUP($A13,ClassGrupFases!$C$15:$Q$22,15,FALSE),"")</f>
        <v>1</v>
      </c>
      <c r="C13" s="47" t="str">
        <f ca="1">IFERROR(VLOOKUP($A13,ClassGrupFases!$C$15:$Q$22,2,FALSE),"")</f>
        <v>ROM</v>
      </c>
      <c r="D13" s="48">
        <f ca="1">IFERROR(VLOOKUP($A13,ClassGrupFases!$C$15:$Q$22,3,FALSE),"")</f>
        <v>0.83333333333333337</v>
      </c>
      <c r="E13" s="49">
        <f ca="1">IFERROR(VLOOKUP($A13,ClassGrupFases!$C$15:$Q$22,4,FALSE),"")</f>
        <v>15</v>
      </c>
      <c r="F13" s="49">
        <f ca="1">IFERROR(VLOOKUP($A13,ClassGrupFases!$C$15:$Q$22,5,FALSE),"")</f>
        <v>6</v>
      </c>
      <c r="G13" s="49">
        <f ca="1">IFERROR(VLOOKUP($A13,ClassGrupFases!$C$15:$Q$22,6,FALSE),"")</f>
        <v>5</v>
      </c>
      <c r="H13" s="49">
        <f ca="1">IFERROR(VLOOKUP($A13,ClassGrupFases!$C$15:$Q$22,7,FALSE),"")</f>
        <v>0</v>
      </c>
      <c r="I13" s="49">
        <f ca="1">IFERROR(VLOOKUP($A13,ClassGrupFases!$C$15:$Q$22,8,FALSE),"")</f>
        <v>1</v>
      </c>
      <c r="J13" s="49">
        <f ca="1">IFERROR(VLOOKUP($A13,ClassGrupFases!$C$15:$Q$22,9,FALSE),"")</f>
        <v>23</v>
      </c>
      <c r="K13" s="49">
        <f ca="1">IFERROR(VLOOKUP($A13,ClassGrupFases!$C$15:$Q$22,10,FALSE),"")</f>
        <v>11</v>
      </c>
      <c r="L13" s="49">
        <f ca="1">IFERROR(VLOOKUP($A13,ClassGrupFases!$C$15:$Q$22,11,FALSE),"")</f>
        <v>12</v>
      </c>
      <c r="M13" s="41">
        <f ca="1">IFERROR(VLOOKUP($A13,ClassGrupFases!$C$15:$Q$22,1,FALSE),"")</f>
        <v>1</v>
      </c>
    </row>
    <row r="14" spans="1:13" x14ac:dyDescent="0.3">
      <c r="A14" s="37">
        <v>2</v>
      </c>
      <c r="B14" s="46">
        <f ca="1">IFERROR(VLOOKUP($A14,ClassGrupFases!$C$15:$Q$22,15,FALSE),"")</f>
        <v>2</v>
      </c>
      <c r="C14" s="47" t="str">
        <f ca="1">IFERROR(VLOOKUP($A14,ClassGrupFases!$C$15:$Q$22,2,FALSE),"")</f>
        <v>BAY</v>
      </c>
      <c r="D14" s="48">
        <f ca="1">IFERROR(VLOOKUP($A14,ClassGrupFases!$C$15:$Q$22,3,FALSE),"")</f>
        <v>0.83333333333333337</v>
      </c>
      <c r="E14" s="49">
        <f ca="1">IFERROR(VLOOKUP($A14,ClassGrupFases!$C$15:$Q$22,4,FALSE),"")</f>
        <v>15</v>
      </c>
      <c r="F14" s="49">
        <f ca="1">IFERROR(VLOOKUP($A14,ClassGrupFases!$C$15:$Q$22,5,FALSE),"")</f>
        <v>6</v>
      </c>
      <c r="G14" s="49">
        <f ca="1">IFERROR(VLOOKUP($A14,ClassGrupFases!$C$15:$Q$22,6,FALSE),"")</f>
        <v>5</v>
      </c>
      <c r="H14" s="49">
        <f ca="1">IFERROR(VLOOKUP($A14,ClassGrupFases!$C$15:$Q$22,7,FALSE),"")</f>
        <v>0</v>
      </c>
      <c r="I14" s="49">
        <f ca="1">IFERROR(VLOOKUP($A14,ClassGrupFases!$C$15:$Q$22,8,FALSE),"")</f>
        <v>1</v>
      </c>
      <c r="J14" s="49">
        <f ca="1">IFERROR(VLOOKUP($A14,ClassGrupFases!$C$15:$Q$22,9,FALSE),"")</f>
        <v>18</v>
      </c>
      <c r="K14" s="49">
        <f ca="1">IFERROR(VLOOKUP($A14,ClassGrupFases!$C$15:$Q$22,10,FALSE),"")</f>
        <v>8</v>
      </c>
      <c r="L14" s="49">
        <f ca="1">IFERROR(VLOOKUP($A14,ClassGrupFases!$C$15:$Q$22,11,FALSE),"")</f>
        <v>10</v>
      </c>
      <c r="M14" s="41">
        <f ca="1">IFERROR(VLOOKUP($A14,ClassGrupFases!$C$15:$Q$22,1,FALSE),"")</f>
        <v>2</v>
      </c>
    </row>
    <row r="15" spans="1:13" x14ac:dyDescent="0.3">
      <c r="A15" s="37">
        <v>3</v>
      </c>
      <c r="B15" s="46">
        <f ca="1">IFERROR(VLOOKUP($A15,ClassGrupFases!$C$15:$Q$22,15,FALSE),"")</f>
        <v>3</v>
      </c>
      <c r="C15" s="47" t="str">
        <f ca="1">IFERROR(VLOOKUP($A15,ClassGrupFases!$C$15:$Q$22,2,FALSE),"")</f>
        <v>IMI</v>
      </c>
      <c r="D15" s="48">
        <f ca="1">IFERROR(VLOOKUP($A15,ClassGrupFases!$C$15:$Q$22,3,FALSE),"")</f>
        <v>0.83333333333333337</v>
      </c>
      <c r="E15" s="49">
        <f ca="1">IFERROR(VLOOKUP($A15,ClassGrupFases!$C$15:$Q$22,4,FALSE),"")</f>
        <v>15</v>
      </c>
      <c r="F15" s="49">
        <f ca="1">IFERROR(VLOOKUP($A15,ClassGrupFases!$C$15:$Q$22,5,FALSE),"")</f>
        <v>6</v>
      </c>
      <c r="G15" s="49">
        <f ca="1">IFERROR(VLOOKUP($A15,ClassGrupFases!$C$15:$Q$22,6,FALSE),"")</f>
        <v>5</v>
      </c>
      <c r="H15" s="49">
        <f ca="1">IFERROR(VLOOKUP($A15,ClassGrupFases!$C$15:$Q$22,7,FALSE),"")</f>
        <v>0</v>
      </c>
      <c r="I15" s="49">
        <f ca="1">IFERROR(VLOOKUP($A15,ClassGrupFases!$C$15:$Q$22,8,FALSE),"")</f>
        <v>1</v>
      </c>
      <c r="J15" s="49">
        <f ca="1">IFERROR(VLOOKUP($A15,ClassGrupFases!$C$15:$Q$22,9,FALSE),"")</f>
        <v>19</v>
      </c>
      <c r="K15" s="49">
        <f ca="1">IFERROR(VLOOKUP($A15,ClassGrupFases!$C$15:$Q$22,10,FALSE),"")</f>
        <v>10</v>
      </c>
      <c r="L15" s="49">
        <f ca="1">IFERROR(VLOOKUP($A15,ClassGrupFases!$C$15:$Q$22,11,FALSE),"")</f>
        <v>9</v>
      </c>
      <c r="M15" s="41">
        <f ca="1">IFERROR(VLOOKUP($A15,ClassGrupFases!$C$15:$Q$22,1,FALSE),"")</f>
        <v>3</v>
      </c>
    </row>
    <row r="16" spans="1:13" x14ac:dyDescent="0.3">
      <c r="A16" s="37">
        <v>4</v>
      </c>
      <c r="B16" s="46">
        <f ca="1">IFERROR(VLOOKUP($A16,ClassGrupFases!$C$15:$Q$22,15,FALSE),"")</f>
        <v>4</v>
      </c>
      <c r="C16" s="47" t="str">
        <f ca="1">IFERROR(VLOOKUP($A16,ClassGrupFases!$C$15:$Q$22,2,FALSE),"")</f>
        <v>ESP</v>
      </c>
      <c r="D16" s="48">
        <f ca="1">IFERROR(VLOOKUP($A16,ClassGrupFases!$C$15:$Q$22,3,FALSE),"")</f>
        <v>0.33333333333333331</v>
      </c>
      <c r="E16" s="49">
        <f ca="1">IFERROR(VLOOKUP($A16,ClassGrupFases!$C$15:$Q$22,4,FALSE),"")</f>
        <v>6</v>
      </c>
      <c r="F16" s="49">
        <f ca="1">IFERROR(VLOOKUP($A16,ClassGrupFases!$C$15:$Q$22,5,FALSE),"")</f>
        <v>6</v>
      </c>
      <c r="G16" s="49">
        <f ca="1">IFERROR(VLOOKUP($A16,ClassGrupFases!$C$15:$Q$22,6,FALSE),"")</f>
        <v>2</v>
      </c>
      <c r="H16" s="49">
        <f ca="1">IFERROR(VLOOKUP($A16,ClassGrupFases!$C$15:$Q$22,7,FALSE),"")</f>
        <v>0</v>
      </c>
      <c r="I16" s="49">
        <f ca="1">IFERROR(VLOOKUP($A16,ClassGrupFases!$C$15:$Q$22,8,FALSE),"")</f>
        <v>4</v>
      </c>
      <c r="J16" s="49">
        <f ca="1">IFERROR(VLOOKUP($A16,ClassGrupFases!$C$15:$Q$22,9,FALSE),"")</f>
        <v>8</v>
      </c>
      <c r="K16" s="49">
        <f ca="1">IFERROR(VLOOKUP($A16,ClassGrupFases!$C$15:$Q$22,10,FALSE),"")</f>
        <v>14</v>
      </c>
      <c r="L16" s="49">
        <f ca="1">IFERROR(VLOOKUP($A16,ClassGrupFases!$C$15:$Q$22,11,FALSE),"")</f>
        <v>-6</v>
      </c>
      <c r="M16" s="41">
        <f ca="1">IFERROR(VLOOKUP($A16,ClassGrupFases!$C$15:$Q$22,1,FALSE),"")</f>
        <v>4</v>
      </c>
    </row>
    <row r="17" spans="1:13" x14ac:dyDescent="0.3">
      <c r="A17" s="37">
        <v>5</v>
      </c>
      <c r="B17" s="46">
        <f ca="1">IFERROR(VLOOKUP($A17,ClassGrupFases!$C$15:$Q$22,15,FALSE),"")</f>
        <v>5</v>
      </c>
      <c r="C17" s="47" t="str">
        <f ca="1">IFERROR(VLOOKUP($A17,ClassGrupFases!$C$15:$Q$22,2,FALSE),"")</f>
        <v>MIL</v>
      </c>
      <c r="D17" s="48">
        <f ca="1">IFERROR(VLOOKUP($A17,ClassGrupFases!$C$15:$Q$22,3,FALSE),"")</f>
        <v>0.27777777777777779</v>
      </c>
      <c r="E17" s="49">
        <f ca="1">IFERROR(VLOOKUP($A17,ClassGrupFases!$C$15:$Q$22,4,FALSE),"")</f>
        <v>5</v>
      </c>
      <c r="F17" s="49">
        <f ca="1">IFERROR(VLOOKUP($A17,ClassGrupFases!$C$15:$Q$22,5,FALSE),"")</f>
        <v>6</v>
      </c>
      <c r="G17" s="49">
        <f ca="1">IFERROR(VLOOKUP($A17,ClassGrupFases!$C$15:$Q$22,6,FALSE),"")</f>
        <v>1</v>
      </c>
      <c r="H17" s="49">
        <f ca="1">IFERROR(VLOOKUP($A17,ClassGrupFases!$C$15:$Q$22,7,FALSE),"")</f>
        <v>2</v>
      </c>
      <c r="I17" s="49">
        <f ca="1">IFERROR(VLOOKUP($A17,ClassGrupFases!$C$15:$Q$22,8,FALSE),"")</f>
        <v>3</v>
      </c>
      <c r="J17" s="49">
        <f ca="1">IFERROR(VLOOKUP($A17,ClassGrupFases!$C$15:$Q$22,9,FALSE),"")</f>
        <v>4</v>
      </c>
      <c r="K17" s="49">
        <f ca="1">IFERROR(VLOOKUP($A17,ClassGrupFases!$C$15:$Q$22,10,FALSE),"")</f>
        <v>10</v>
      </c>
      <c r="L17" s="49">
        <f ca="1">IFERROR(VLOOKUP($A17,ClassGrupFases!$C$15:$Q$22,11,FALSE),"")</f>
        <v>-6</v>
      </c>
      <c r="M17" s="41">
        <f ca="1">IFERROR(VLOOKUP($A17,ClassGrupFases!$C$15:$Q$22,1,FALSE),"")</f>
        <v>5</v>
      </c>
    </row>
    <row r="18" spans="1:13" x14ac:dyDescent="0.3">
      <c r="A18" s="37">
        <v>6</v>
      </c>
      <c r="B18" s="46">
        <f ca="1">IFERROR(VLOOKUP($A18,ClassGrupFases!$C$15:$Q$22,15,FALSE),"")</f>
        <v>6</v>
      </c>
      <c r="C18" s="47" t="str">
        <f ca="1">IFERROR(VLOOKUP($A18,ClassGrupFases!$C$15:$Q$22,2,FALSE),"")</f>
        <v>POR</v>
      </c>
      <c r="D18" s="48">
        <f ca="1">IFERROR(VLOOKUP($A18,ClassGrupFases!$C$15:$Q$22,3,FALSE),"")</f>
        <v>0.1111111111111111</v>
      </c>
      <c r="E18" s="49">
        <f ca="1">IFERROR(VLOOKUP($A18,ClassGrupFases!$C$15:$Q$22,4,FALSE),"")</f>
        <v>2</v>
      </c>
      <c r="F18" s="49">
        <f ca="1">IFERROR(VLOOKUP($A18,ClassGrupFases!$C$15:$Q$22,5,FALSE),"")</f>
        <v>6</v>
      </c>
      <c r="G18" s="49">
        <f ca="1">IFERROR(VLOOKUP($A18,ClassGrupFases!$C$15:$Q$22,6,FALSE),"")</f>
        <v>0</v>
      </c>
      <c r="H18" s="49">
        <f ca="1">IFERROR(VLOOKUP($A18,ClassGrupFases!$C$15:$Q$22,7,FALSE),"")</f>
        <v>2</v>
      </c>
      <c r="I18" s="49">
        <f ca="1">IFERROR(VLOOKUP($A18,ClassGrupFases!$C$15:$Q$22,8,FALSE),"")</f>
        <v>4</v>
      </c>
      <c r="J18" s="49">
        <f ca="1">IFERROR(VLOOKUP($A18,ClassGrupFases!$C$15:$Q$22,9,FALSE),"")</f>
        <v>3</v>
      </c>
      <c r="K18" s="49">
        <f ca="1">IFERROR(VLOOKUP($A18,ClassGrupFases!$C$15:$Q$22,10,FALSE),"")</f>
        <v>10</v>
      </c>
      <c r="L18" s="49">
        <f ca="1">IFERROR(VLOOKUP($A18,ClassGrupFases!$C$15:$Q$22,11,FALSE),"")</f>
        <v>-7</v>
      </c>
      <c r="M18" s="41">
        <f ca="1">IFERROR(VLOOKUP($A18,ClassGrupFases!$C$15:$Q$22,1,FALSE),"")</f>
        <v>6</v>
      </c>
    </row>
    <row r="19" spans="1:13" x14ac:dyDescent="0.3">
      <c r="A19" s="37">
        <v>7</v>
      </c>
      <c r="B19" s="50">
        <f ca="1">IFERROR(VLOOKUP($A19,ClassGrupFases!$C$15:$Q$22,15,FALSE),"")</f>
        <v>7</v>
      </c>
      <c r="C19" s="51" t="str">
        <f ca="1">IFERROR(VLOOKUP($A19,ClassGrupFases!$C$15:$Q$22,2,FALSE),"")</f>
        <v>NEW</v>
      </c>
      <c r="D19" s="52">
        <f ca="1">IFERROR(VLOOKUP($A19,ClassGrupFases!$C$15:$Q$22,3,FALSE),"")</f>
        <v>0.1111111111111111</v>
      </c>
      <c r="E19" s="53">
        <f ca="1">IFERROR(VLOOKUP($A19,ClassGrupFases!$C$15:$Q$22,4,FALSE),"")</f>
        <v>2</v>
      </c>
      <c r="F19" s="53">
        <f ca="1">IFERROR(VLOOKUP($A19,ClassGrupFases!$C$15:$Q$22,5,FALSE),"")</f>
        <v>6</v>
      </c>
      <c r="G19" s="53">
        <f ca="1">IFERROR(VLOOKUP($A19,ClassGrupFases!$C$15:$Q$22,6,FALSE),"")</f>
        <v>0</v>
      </c>
      <c r="H19" s="53">
        <f ca="1">IFERROR(VLOOKUP($A19,ClassGrupFases!$C$15:$Q$22,7,FALSE),"")</f>
        <v>2</v>
      </c>
      <c r="I19" s="53">
        <f ca="1">IFERROR(VLOOKUP($A19,ClassGrupFases!$C$15:$Q$22,8,FALSE),"")</f>
        <v>4</v>
      </c>
      <c r="J19" s="53">
        <f ca="1">IFERROR(VLOOKUP($A19,ClassGrupFases!$C$15:$Q$22,9,FALSE),"")</f>
        <v>4</v>
      </c>
      <c r="K19" s="53">
        <f ca="1">IFERROR(VLOOKUP($A19,ClassGrupFases!$C$15:$Q$22,10,FALSE),"")</f>
        <v>16</v>
      </c>
      <c r="L19" s="53">
        <f ca="1">IFERROR(VLOOKUP($A19,ClassGrupFases!$C$15:$Q$22,11,FALSE),"")</f>
        <v>-12</v>
      </c>
      <c r="M19" s="41">
        <f ca="1">IFERROR(VLOOKUP($A19,ClassGrupFases!$C$15:$Q$22,1,FALSE),"")</f>
        <v>7</v>
      </c>
    </row>
  </sheetData>
  <sheetProtection algorithmName="SHA-512" hashValue="lfQ6ozuHoXiE3yJkcSEzk2vF3X7h5UgbfcDN0K6dlGsK1BWO1S2/lKfrXOH2Ql56j1pWvkieUmHbyLUbQhCmfw==" saltValue="PvN4q9F2C4LCiJ8ALkj4q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C268-E6F4-439E-8EC0-F56BC6DFD71B}">
  <dimension ref="A1:AE18"/>
  <sheetViews>
    <sheetView showGridLines="0" tabSelected="1" topLeftCell="B1" workbookViewId="0">
      <pane ySplit="1" topLeftCell="A2" activePane="bottomLeft" state="frozen"/>
      <selection activeCell="B1" sqref="B1"/>
      <selection pane="bottomLeft" activeCell="C5" sqref="C5"/>
    </sheetView>
  </sheetViews>
  <sheetFormatPr defaultRowHeight="17.25" x14ac:dyDescent="0.3"/>
  <cols>
    <col min="1" max="1" width="2.7109375" style="57" hidden="1" customWidth="1"/>
    <col min="2" max="2" width="40.7109375" style="36" customWidth="1"/>
    <col min="3" max="5" width="4.7109375" style="34" customWidth="1"/>
    <col min="6" max="6" width="40.7109375" style="35" customWidth="1"/>
    <col min="7" max="7" width="2.7109375" style="57" hidden="1" customWidth="1"/>
    <col min="8" max="8" width="6.7109375" style="34" customWidth="1"/>
    <col min="9" max="11" width="4.7109375" style="34" hidden="1" customWidth="1"/>
    <col min="12" max="12" width="10.7109375" style="36" customWidth="1"/>
    <col min="13" max="13" width="4.7109375" style="58" hidden="1" customWidth="1"/>
    <col min="14" max="14" width="10.7109375" style="59" hidden="1" customWidth="1"/>
    <col min="15" max="15" width="4.7109375" style="58" hidden="1" customWidth="1"/>
    <col min="16" max="16" width="1.7109375" style="23" hidden="1" customWidth="1"/>
    <col min="17" max="17" width="4.7109375" style="57" hidden="1" customWidth="1"/>
    <col min="18" max="18" width="10.7109375" style="60" hidden="1" customWidth="1"/>
    <col min="19" max="19" width="4.7109375" style="57" hidden="1" customWidth="1"/>
    <col min="20" max="20" width="0" style="23" hidden="1" customWidth="1"/>
    <col min="21" max="31" width="5.7109375" style="61" hidden="1" customWidth="1"/>
    <col min="32" max="16384" width="9.140625" style="33"/>
  </cols>
  <sheetData>
    <row r="1" spans="1:31" ht="20.25" x14ac:dyDescent="0.3">
      <c r="B1" s="2" t="s">
        <v>55</v>
      </c>
      <c r="R1" s="60" t="s">
        <v>56</v>
      </c>
    </row>
    <row r="2" spans="1:31" x14ac:dyDescent="0.3">
      <c r="B2" s="3" t="s">
        <v>1</v>
      </c>
      <c r="R2" s="60" t="b">
        <f>Jogos!M2*2 = ClassGrupFases!$S$2</f>
        <v>1</v>
      </c>
    </row>
    <row r="3" spans="1:31" ht="25.5" x14ac:dyDescent="0.5">
      <c r="B3" s="63" t="s">
        <v>57</v>
      </c>
      <c r="C3" s="63"/>
      <c r="D3" s="63"/>
      <c r="E3" s="63"/>
      <c r="F3" s="63"/>
      <c r="G3" s="63"/>
      <c r="H3" s="63"/>
      <c r="U3" s="61" t="s">
        <v>11</v>
      </c>
      <c r="V3" s="61" t="s">
        <v>11</v>
      </c>
      <c r="W3" s="61" t="s">
        <v>12</v>
      </c>
      <c r="X3" s="61" t="s">
        <v>13</v>
      </c>
      <c r="Y3" s="61" t="s">
        <v>13</v>
      </c>
      <c r="Z3" s="61" t="s">
        <v>14</v>
      </c>
      <c r="AA3" s="61" t="s">
        <v>15</v>
      </c>
      <c r="AB3" s="61" t="s">
        <v>16</v>
      </c>
      <c r="AC3" s="61" t="s">
        <v>12</v>
      </c>
      <c r="AD3" s="61" t="s">
        <v>17</v>
      </c>
      <c r="AE3" s="61" t="s">
        <v>18</v>
      </c>
    </row>
    <row r="4" spans="1:31" x14ac:dyDescent="0.3">
      <c r="B4" s="66" t="s">
        <v>58</v>
      </c>
      <c r="C4" s="66"/>
      <c r="D4" s="66"/>
      <c r="E4" s="66"/>
      <c r="F4" s="66"/>
      <c r="G4" s="66"/>
      <c r="H4" s="65" t="s">
        <v>59</v>
      </c>
      <c r="L4" s="64">
        <f>Jogos!K3 + TIME(0,160,0)</f>
        <v>45692.913194444445</v>
      </c>
      <c r="M4" s="68" t="s">
        <v>60</v>
      </c>
      <c r="N4" s="67"/>
      <c r="O4" s="67"/>
      <c r="Q4" s="70" t="s">
        <v>61</v>
      </c>
      <c r="R4" s="69"/>
      <c r="S4" s="69"/>
    </row>
    <row r="5" spans="1:31" x14ac:dyDescent="0.3">
      <c r="A5" s="57">
        <v>1</v>
      </c>
      <c r="B5" s="74" t="str">
        <f ca="1">IFERROR(IF($R$2,VLOOKUP($A5,ClassGrupFases!$C$24:$D$31,2,FALSE),""),"")</f>
        <v>ROM</v>
      </c>
      <c r="C5" s="75">
        <v>4</v>
      </c>
      <c r="D5" s="71" t="s">
        <v>19</v>
      </c>
      <c r="E5" s="75">
        <v>0</v>
      </c>
      <c r="F5" s="72" t="str">
        <f ca="1">IFERROR(IF($R$2,VLOOKUP($G5,ClassGrupFases!$C$24:$D$31,2,FALSE),""),"")</f>
        <v>ESP</v>
      </c>
      <c r="G5" s="73">
        <v>8</v>
      </c>
      <c r="H5" s="71">
        <v>1</v>
      </c>
      <c r="I5" s="71"/>
      <c r="J5" s="71"/>
      <c r="K5" s="71"/>
      <c r="M5" s="58">
        <f ca="1">IFERROR(_xlfn.RANK.EQ(O5, O5:O8, 0), "")</f>
        <v>1</v>
      </c>
      <c r="N5" s="59" t="str">
        <f ca="1">IF(OR(C5="", E5=""), "", IF(OR(C5&gt;E5, C5=E5), B5, F5))</f>
        <v>ROM</v>
      </c>
      <c r="O5" s="58">
        <f ca="1">IF(OR(C5="", E5=""), "", VLOOKUP(N5, ClassGrupFases!$D$6:$P$21, 11, 0))</f>
        <v>84.884556143333356</v>
      </c>
      <c r="Q5" s="57">
        <f ca="1">IFERROR(_xlfn.RANK.EQ(S5, S5:S8, 0) + 4, "")</f>
        <v>8</v>
      </c>
      <c r="R5" s="60" t="str">
        <f ca="1">IF(OR(C5="", E5=""), "", IF(OR(C5&gt;E5, C5=E5), F5, B5))</f>
        <v>ESP</v>
      </c>
      <c r="S5" s="57">
        <f ca="1">IF(OR(C5="", E5=""), "", VLOOKUP(R5, ClassGrupFases!$D$6:$P$21, 11, 0))</f>
        <v>33.952741153333328</v>
      </c>
      <c r="U5" s="61" t="str">
        <f ca="1">IF(OR(C5 = "",E5 = ""), "", F5)</f>
        <v>ESP</v>
      </c>
      <c r="W5" s="61" t="str">
        <f ca="1">IF(OR(C5 = "",E5 = ""), "", IF(C5&gt;E5,B5, IF(E5&gt;C5,F5, "")))</f>
        <v>ROM</v>
      </c>
      <c r="X5" s="61" t="str">
        <f>IF(OR(C5 = "",E5 = ""), "", IF(C5=E5,B5, ""))</f>
        <v/>
      </c>
      <c r="Y5" s="61" t="str">
        <f>IF(OR(C5 = "",E5 = ""), "", IF(C5=E5,F5, ""))</f>
        <v/>
      </c>
      <c r="Z5" s="61" t="str">
        <f ca="1">IF(OR(C5 = "",E5 = ""), "", IF(C5&gt;E5,F5, IF(E5&gt;C5,B5, "")))</f>
        <v>ESP</v>
      </c>
      <c r="AA5" s="61" t="str">
        <f ca="1">IF(OR(C5 = "",E5 = ""), "", B5)</f>
        <v>ROM</v>
      </c>
      <c r="AB5" s="61">
        <f>IF(C5 = "", "", C5)</f>
        <v>4</v>
      </c>
      <c r="AC5" s="61" t="str">
        <f ca="1">IF(OR(C5 = "",E5 = ""), "", F5)</f>
        <v>ESP</v>
      </c>
      <c r="AD5" s="61">
        <f>IF(E5 = "", "", E5)</f>
        <v>0</v>
      </c>
      <c r="AE5" s="61">
        <f>IF(C5 = "", "", C5)</f>
        <v>4</v>
      </c>
    </row>
    <row r="6" spans="1:31" x14ac:dyDescent="0.3">
      <c r="A6" s="57">
        <v>2</v>
      </c>
      <c r="B6" s="62" t="str">
        <f ca="1">IFERROR(IF($R$2,VLOOKUP($A6,ClassGrupFases!$C$24:$D$31,2,FALSE),""),"")</f>
        <v>BAY</v>
      </c>
      <c r="C6" s="75">
        <v>2</v>
      </c>
      <c r="D6" s="34" t="s">
        <v>19</v>
      </c>
      <c r="E6" s="75">
        <v>4</v>
      </c>
      <c r="F6" s="35" t="str">
        <f ca="1">IFERROR(IF($R$2,VLOOKUP($G6,ClassGrupFases!$C$24:$D$31,2,FALSE),""),"")</f>
        <v>REA</v>
      </c>
      <c r="G6" s="57">
        <v>7</v>
      </c>
      <c r="H6" s="34">
        <v>2</v>
      </c>
      <c r="M6" s="58">
        <f ca="1">IFERROR(_xlfn.RANK.EQ(O6, O5:O8, 0), "")</f>
        <v>4</v>
      </c>
      <c r="N6" s="59" t="str">
        <f ca="1">IF(OR(C6="", E6=""), "", IF(OR(C6&gt;E6, C6=E6), B6, F6))</f>
        <v>REA</v>
      </c>
      <c r="O6" s="58">
        <f ca="1">IF(OR(C6="", E6=""), "", VLOOKUP(N6, ClassGrupFases!$D$6:$P$21, 11, 0))</f>
        <v>45.264863344444436</v>
      </c>
      <c r="Q6" s="57">
        <f ca="1">IFERROR(_xlfn.RANK.EQ(S6, S5:S8, 0) + 4, "")</f>
        <v>5</v>
      </c>
      <c r="R6" s="60" t="str">
        <f ca="1">IF(OR(C6="", E6=""), "", IF(OR(C6&gt;E6, C6=E6), F6, B6))</f>
        <v>BAY</v>
      </c>
      <c r="S6" s="57">
        <f ca="1">IF(OR(C6="", E6=""), "", VLOOKUP(R6, ClassGrupFases!$D$6:$P$21, 11, 0))</f>
        <v>84.884351173333343</v>
      </c>
      <c r="U6" s="61" t="str">
        <f ca="1">IF(OR(C6 = "",E6 = ""), "", F6)</f>
        <v>REA</v>
      </c>
      <c r="W6" s="61" t="str">
        <f ca="1">IF(OR(C6 = "",E6 = ""), "", IF(C6&gt;E6,B6, IF(E6&gt;C6,F6, "")))</f>
        <v>REA</v>
      </c>
      <c r="X6" s="61" t="str">
        <f>IF(OR(C6 = "",E6 = ""), "", IF(C6=E6,B6, ""))</f>
        <v/>
      </c>
      <c r="Y6" s="61" t="str">
        <f>IF(OR(C6 = "",E6 = ""), "", IF(C6=E6,F6, ""))</f>
        <v/>
      </c>
      <c r="Z6" s="61" t="str">
        <f ca="1">IF(OR(C6 = "",E6 = ""), "", IF(C6&gt;E6,F6, IF(E6&gt;C6,B6, "")))</f>
        <v>BAY</v>
      </c>
      <c r="AA6" s="61" t="str">
        <f ca="1">IF(OR(C6 = "",E6 = ""), "", B6)</f>
        <v>BAY</v>
      </c>
      <c r="AB6" s="61">
        <f>IF(C6 = "", "", C6)</f>
        <v>2</v>
      </c>
      <c r="AC6" s="61" t="str">
        <f ca="1">IF(OR(C6 = "",E6 = ""), "", F6)</f>
        <v>REA</v>
      </c>
      <c r="AD6" s="61">
        <f>IF(E6 = "", "", E6)</f>
        <v>4</v>
      </c>
      <c r="AE6" s="61">
        <f>IF(C6 = "", "", C6)</f>
        <v>2</v>
      </c>
    </row>
    <row r="7" spans="1:31" x14ac:dyDescent="0.3">
      <c r="A7" s="57">
        <v>3</v>
      </c>
      <c r="B7" s="74" t="str">
        <f ca="1">IFERROR(IF($R$2,VLOOKUP($A7,ClassGrupFases!$C$24:$D$31,2,FALSE),""),"")</f>
        <v>IMI</v>
      </c>
      <c r="C7" s="75">
        <v>3</v>
      </c>
      <c r="D7" s="71" t="s">
        <v>19</v>
      </c>
      <c r="E7" s="75">
        <v>0</v>
      </c>
      <c r="F7" s="72" t="str">
        <f ca="1">IFERROR(IF($R$2,VLOOKUP($G7,ClassGrupFases!$C$24:$D$31,2,FALSE),""),"")</f>
        <v>WOL</v>
      </c>
      <c r="G7" s="73">
        <v>6</v>
      </c>
      <c r="H7" s="71">
        <v>3</v>
      </c>
      <c r="I7" s="71"/>
      <c r="J7" s="71"/>
      <c r="K7" s="71"/>
      <c r="M7" s="58">
        <f ca="1">IFERROR(_xlfn.RANK.EQ(O7, O5:O8, 0), "")</f>
        <v>2</v>
      </c>
      <c r="N7" s="59" t="str">
        <f ca="1">IF(OR(C7="", E7=""), "", IF(OR(C7&gt;E7, C7=E7), B7, F7))</f>
        <v>IMI</v>
      </c>
      <c r="O7" s="58">
        <f ca="1">IF(OR(C7="", E7=""), "", VLOOKUP(N7, ClassGrupFases!$D$6:$P$21, 11, 0))</f>
        <v>84.884252123333354</v>
      </c>
      <c r="Q7" s="57">
        <f ca="1">IFERROR(_xlfn.RANK.EQ(S7, S5:S8, 0) + 4, "")</f>
        <v>7</v>
      </c>
      <c r="R7" s="60" t="str">
        <f ca="1">IF(OR(C7="", E7=""), "", IF(OR(C7&gt;E7, C7=E7), F7, B7))</f>
        <v>WOL</v>
      </c>
      <c r="S7" s="57">
        <f ca="1">IF(OR(C7="", E7=""), "", VLOOKUP(R7, ClassGrupFases!$D$6:$P$21, 11, 0))</f>
        <v>50.930108879999999</v>
      </c>
      <c r="U7" s="61" t="str">
        <f ca="1">IF(OR(C7 = "",E7 = ""), "", F7)</f>
        <v>WOL</v>
      </c>
      <c r="W7" s="61" t="str">
        <f ca="1">IF(OR(C7 = "",E7 = ""), "", IF(C7&gt;E7,B7, IF(E7&gt;C7,F7, "")))</f>
        <v>IMI</v>
      </c>
      <c r="X7" s="61" t="str">
        <f>IF(OR(C7 = "",E7 = ""), "", IF(C7=E7,B7, ""))</f>
        <v/>
      </c>
      <c r="Y7" s="61" t="str">
        <f>IF(OR(C7 = "",E7 = ""), "", IF(C7=E7,F7, ""))</f>
        <v/>
      </c>
      <c r="Z7" s="61" t="str">
        <f ca="1">IF(OR(C7 = "",E7 = ""), "", IF(C7&gt;E7,F7, IF(E7&gt;C7,B7, "")))</f>
        <v>WOL</v>
      </c>
      <c r="AA7" s="61" t="str">
        <f ca="1">IF(OR(C7 = "",E7 = ""), "", B7)</f>
        <v>IMI</v>
      </c>
      <c r="AB7" s="61">
        <f>IF(C7 = "", "", C7)</f>
        <v>3</v>
      </c>
      <c r="AC7" s="61" t="str">
        <f ca="1">IF(OR(C7 = "",E7 = ""), "", F7)</f>
        <v>WOL</v>
      </c>
      <c r="AD7" s="61">
        <f>IF(E7 = "", "", E7)</f>
        <v>0</v>
      </c>
      <c r="AE7" s="61">
        <f>IF(C7 = "", "", C7)</f>
        <v>3</v>
      </c>
    </row>
    <row r="8" spans="1:31" x14ac:dyDescent="0.3">
      <c r="A8" s="57">
        <v>4</v>
      </c>
      <c r="B8" s="62" t="str">
        <f ca="1">IFERROR(IF($R$2,VLOOKUP($A8,ClassGrupFases!$C$24:$D$31,2,FALSE),""),"")</f>
        <v>PSG</v>
      </c>
      <c r="C8" s="75">
        <v>0</v>
      </c>
      <c r="D8" s="34" t="s">
        <v>19</v>
      </c>
      <c r="E8" s="75">
        <v>0</v>
      </c>
      <c r="F8" s="35" t="str">
        <f ca="1">IFERROR(IF($R$2,VLOOKUP($G8,ClassGrupFases!$C$24:$D$31,2,FALSE),""),"")</f>
        <v>JUV</v>
      </c>
      <c r="G8" s="57">
        <v>5</v>
      </c>
      <c r="H8" s="34">
        <v>4</v>
      </c>
      <c r="M8" s="58">
        <f ca="1">IFERROR(_xlfn.RANK.EQ(O8, O5:O8, 0), "")</f>
        <v>3</v>
      </c>
      <c r="N8" s="59" t="str">
        <f ca="1">IF(OR(C8="", E8=""), "", IF(OR(C8&gt;E8, C8=E8), B8, F8))</f>
        <v>PSG</v>
      </c>
      <c r="O8" s="58">
        <f ca="1">IF(OR(C8="", E8=""), "", VLOOKUP(N8, ClassGrupFases!$D$6:$P$21, 11, 0))</f>
        <v>84.88395027333334</v>
      </c>
      <c r="Q8" s="57">
        <f ca="1">IFERROR(_xlfn.RANK.EQ(S8, S5:S8, 0) + 4, "")</f>
        <v>6</v>
      </c>
      <c r="R8" s="60" t="str">
        <f ca="1">IF(OR(C8="", E8=""), "", IF(OR(C8&gt;E8, C8=E8), F8, B8))</f>
        <v>JUV</v>
      </c>
      <c r="S8" s="57">
        <f ca="1">IF(OR(C8="", E8=""), "", VLOOKUP(R8, ClassGrupFases!$D$6:$P$21, 11, 0))</f>
        <v>62.241321041111121</v>
      </c>
      <c r="U8" s="61" t="str">
        <f ca="1">IF(OR(C8 = "",E8 = ""), "", F8)</f>
        <v>JUV</v>
      </c>
      <c r="W8" s="61" t="str">
        <f>IF(OR(C8 = "",E8 = ""), "", IF(C8&gt;E8,B8, IF(E8&gt;C8,F8, "")))</f>
        <v/>
      </c>
      <c r="X8" s="61" t="str">
        <f ca="1">IF(OR(C8 = "",E8 = ""), "", IF(C8=E8,B8, ""))</f>
        <v>PSG</v>
      </c>
      <c r="Y8" s="61" t="str">
        <f ca="1">IF(OR(C8 = "",E8 = ""), "", IF(C8=E8,F8, ""))</f>
        <v>JUV</v>
      </c>
      <c r="Z8" s="61" t="str">
        <f>IF(OR(C8 = "",E8 = ""), "", IF(C8&gt;E8,F8, IF(E8&gt;C8,B8, "")))</f>
        <v/>
      </c>
      <c r="AA8" s="61" t="str">
        <f ca="1">IF(OR(C8 = "",E8 = ""), "", B8)</f>
        <v>PSG</v>
      </c>
      <c r="AB8" s="61">
        <f>IF(C8 = "", "", C8)</f>
        <v>0</v>
      </c>
      <c r="AC8" s="61" t="str">
        <f ca="1">IF(OR(C8 = "",E8 = ""), "", F8)</f>
        <v>JUV</v>
      </c>
      <c r="AD8" s="61">
        <f>IF(E8 = "", "", E8)</f>
        <v>0</v>
      </c>
      <c r="AE8" s="61">
        <f>IF(C8 = "", "", C8)</f>
        <v>0</v>
      </c>
    </row>
    <row r="9" spans="1:31" ht="25.5" x14ac:dyDescent="0.5">
      <c r="B9" s="63" t="s">
        <v>62</v>
      </c>
      <c r="C9" s="63"/>
      <c r="D9" s="63"/>
      <c r="E9" s="63"/>
      <c r="F9" s="63"/>
      <c r="G9" s="63"/>
      <c r="H9" s="63"/>
      <c r="U9" s="61" t="s">
        <v>11</v>
      </c>
      <c r="V9" s="61" t="s">
        <v>11</v>
      </c>
      <c r="W9" s="61" t="s">
        <v>12</v>
      </c>
      <c r="X9" s="61" t="s">
        <v>13</v>
      </c>
      <c r="Y9" s="61" t="s">
        <v>13</v>
      </c>
      <c r="Z9" s="61" t="s">
        <v>14</v>
      </c>
      <c r="AA9" s="61" t="s">
        <v>15</v>
      </c>
      <c r="AB9" s="61" t="s">
        <v>16</v>
      </c>
      <c r="AC9" s="61" t="s">
        <v>12</v>
      </c>
      <c r="AD9" s="61" t="s">
        <v>17</v>
      </c>
      <c r="AE9" s="61" t="s">
        <v>18</v>
      </c>
    </row>
    <row r="10" spans="1:31" x14ac:dyDescent="0.3">
      <c r="B10" s="66" t="s">
        <v>58</v>
      </c>
      <c r="C10" s="66"/>
      <c r="D10" s="66"/>
      <c r="E10" s="66"/>
      <c r="F10" s="66"/>
      <c r="G10" s="66"/>
      <c r="H10" s="65" t="s">
        <v>59</v>
      </c>
      <c r="L10" s="64">
        <f>Jogos!K3 + TIME(0,180,0)</f>
        <v>45692.927083333336</v>
      </c>
      <c r="M10" s="68" t="s">
        <v>60</v>
      </c>
      <c r="N10" s="67"/>
      <c r="O10" s="67"/>
      <c r="Q10" s="70" t="s">
        <v>61</v>
      </c>
      <c r="R10" s="69"/>
      <c r="S10" s="69"/>
    </row>
    <row r="11" spans="1:31" x14ac:dyDescent="0.3">
      <c r="A11" s="57">
        <v>1</v>
      </c>
      <c r="B11" s="74" t="str">
        <f ca="1">IFERROR(VLOOKUP($A11,$M$5:$N$8, 2, FALSE), "")</f>
        <v>ROM</v>
      </c>
      <c r="C11" s="75">
        <v>0</v>
      </c>
      <c r="D11" s="71" t="s">
        <v>19</v>
      </c>
      <c r="E11" s="75">
        <v>6</v>
      </c>
      <c r="F11" s="72" t="str">
        <f ca="1">IFERROR(VLOOKUP($G11,$M$5:$N$8, 2, FALSE), "")</f>
        <v>REA</v>
      </c>
      <c r="G11" s="73">
        <v>4</v>
      </c>
      <c r="H11" s="71">
        <v>1</v>
      </c>
      <c r="I11" s="71"/>
      <c r="J11" s="71"/>
      <c r="K11" s="71"/>
      <c r="M11" s="58">
        <f ca="1">IFERROR(_xlfn.RANK.EQ(O11, O11:O12, 0), "")</f>
        <v>2</v>
      </c>
      <c r="N11" s="59" t="str">
        <f ca="1">IF(OR(C11="", E11=""), "", IF(OR(C11&gt;E11, C11=E11), B11, F11))</f>
        <v>REA</v>
      </c>
      <c r="O11" s="58">
        <f ca="1">IF(OR(C11="", E11=""), "", VLOOKUP(N11, ClassGrupFases!$D$6:$P$21, 11, 0))</f>
        <v>45.264863344444436</v>
      </c>
      <c r="Q11" s="57">
        <f ca="1">IFERROR(_xlfn.RANK.EQ(S11, S11:S12, 0) + 2, "")</f>
        <v>3</v>
      </c>
      <c r="R11" s="60" t="str">
        <f ca="1">IF(OR(C11="", E11=""), "", IF(OR(C11&gt;E11, C11=E11), F11, B11))</f>
        <v>ROM</v>
      </c>
      <c r="S11" s="57">
        <f ca="1">IF(OR(C11="", E11=""), "", VLOOKUP(R11, ClassGrupFases!$D$6:$P$21, 11, 0))</f>
        <v>84.884556143333356</v>
      </c>
      <c r="U11" s="61" t="str">
        <f ca="1">IF(OR(C11 = "",E11 = ""), "", F11)</f>
        <v>REA</v>
      </c>
      <c r="W11" s="61" t="str">
        <f ca="1">IF(OR(C11 = "",E11 = ""), "", IF(C11&gt;E11,B11, IF(E11&gt;C11,F11, "")))</f>
        <v>REA</v>
      </c>
      <c r="X11" s="61" t="str">
        <f>IF(OR(C11 = "",E11 = ""), "", IF(C11=E11,B11, ""))</f>
        <v/>
      </c>
      <c r="Y11" s="61" t="str">
        <f>IF(OR(C11 = "",E11 = ""), "", IF(C11=E11,F11, ""))</f>
        <v/>
      </c>
      <c r="Z11" s="61" t="str">
        <f ca="1">IF(OR(C11 = "",E11 = ""), "", IF(C11&gt;E11,F11, IF(E11&gt;C11,B11, "")))</f>
        <v>ROM</v>
      </c>
      <c r="AA11" s="61" t="str">
        <f ca="1">IF(OR(C11 = "",E11 = ""), "", B11)</f>
        <v>ROM</v>
      </c>
      <c r="AB11" s="61">
        <f>IF(C11 = "", "", C11)</f>
        <v>0</v>
      </c>
      <c r="AC11" s="61" t="str">
        <f ca="1">IF(OR(C11 = "",E11 = ""), "", F11)</f>
        <v>REA</v>
      </c>
      <c r="AD11" s="61">
        <f>IF(E11 = "", "", E11)</f>
        <v>6</v>
      </c>
      <c r="AE11" s="61">
        <f>IF(C11 = "", "", C11)</f>
        <v>0</v>
      </c>
    </row>
    <row r="12" spans="1:31" x14ac:dyDescent="0.3">
      <c r="A12" s="57">
        <v>2</v>
      </c>
      <c r="B12" s="62" t="str">
        <f ca="1">IFERROR(VLOOKUP($A12,$M$5:$N$8, 2, FALSE), "")</f>
        <v>IMI</v>
      </c>
      <c r="C12" s="75">
        <v>1</v>
      </c>
      <c r="D12" s="34" t="s">
        <v>19</v>
      </c>
      <c r="E12" s="75">
        <v>1</v>
      </c>
      <c r="F12" s="35" t="str">
        <f ca="1">IFERROR(VLOOKUP($G12,$M$5:$N$8, 2, FALSE), "")</f>
        <v>PSG</v>
      </c>
      <c r="G12" s="57">
        <v>3</v>
      </c>
      <c r="H12" s="34">
        <v>2</v>
      </c>
      <c r="M12" s="58">
        <f ca="1">IFERROR(_xlfn.RANK.EQ(O12, O11:O12, 0), "")</f>
        <v>1</v>
      </c>
      <c r="N12" s="59" t="str">
        <f ca="1">IF(OR(C12="", E12=""), "", IF(OR(C12&gt;E12, C12=E12), B12, F12))</f>
        <v>IMI</v>
      </c>
      <c r="O12" s="58">
        <f ca="1">IF(OR(C12="", E12=""), "", VLOOKUP(N12, ClassGrupFases!$D$6:$P$21, 11, 0))</f>
        <v>84.884252123333354</v>
      </c>
      <c r="Q12" s="57">
        <f ca="1">IFERROR(_xlfn.RANK.EQ(S12, S11:S12, 0) + 2, "")</f>
        <v>4</v>
      </c>
      <c r="R12" s="60" t="str">
        <f ca="1">IF(OR(C12="", E12=""), "", IF(OR(C12&gt;E12, C12=E12), F12, B12))</f>
        <v>PSG</v>
      </c>
      <c r="S12" s="57">
        <f ca="1">IF(OR(C12="", E12=""), "", VLOOKUP(R12, ClassGrupFases!$D$6:$P$21, 11, 0))</f>
        <v>84.88395027333334</v>
      </c>
      <c r="U12" s="61" t="str">
        <f ca="1">IF(OR(C12 = "",E12 = ""), "", F12)</f>
        <v>PSG</v>
      </c>
      <c r="W12" s="61" t="str">
        <f>IF(OR(C12 = "",E12 = ""), "", IF(C12&gt;E12,B12, IF(E12&gt;C12,F12, "")))</f>
        <v/>
      </c>
      <c r="X12" s="61" t="str">
        <f ca="1">IF(OR(C12 = "",E12 = ""), "", IF(C12=E12,B12, ""))</f>
        <v>IMI</v>
      </c>
      <c r="Y12" s="61" t="str">
        <f ca="1">IF(OR(C12 = "",E12 = ""), "", IF(C12=E12,F12, ""))</f>
        <v>PSG</v>
      </c>
      <c r="Z12" s="61" t="str">
        <f>IF(OR(C12 = "",E12 = ""), "", IF(C12&gt;E12,F12, IF(E12&gt;C12,B12, "")))</f>
        <v/>
      </c>
      <c r="AA12" s="61" t="str">
        <f ca="1">IF(OR(C12 = "",E12 = ""), "", B12)</f>
        <v>IMI</v>
      </c>
      <c r="AB12" s="61">
        <f>IF(C12 = "", "", C12)</f>
        <v>1</v>
      </c>
      <c r="AC12" s="61" t="str">
        <f ca="1">IF(OR(C12 = "",E12 = ""), "", F12)</f>
        <v>PSG</v>
      </c>
      <c r="AD12" s="61">
        <f>IF(E12 = "", "", E12)</f>
        <v>1</v>
      </c>
      <c r="AE12" s="61">
        <f>IF(C12 = "", "", C12)</f>
        <v>1</v>
      </c>
    </row>
    <row r="13" spans="1:31" ht="25.5" x14ac:dyDescent="0.5">
      <c r="B13" s="63" t="s">
        <v>63</v>
      </c>
      <c r="C13" s="63"/>
      <c r="D13" s="63"/>
      <c r="E13" s="63"/>
      <c r="F13" s="63"/>
      <c r="G13" s="63"/>
      <c r="H13" s="63"/>
      <c r="U13" s="61" t="s">
        <v>11</v>
      </c>
      <c r="V13" s="61" t="s">
        <v>11</v>
      </c>
      <c r="W13" s="61" t="s">
        <v>12</v>
      </c>
      <c r="X13" s="61" t="s">
        <v>13</v>
      </c>
      <c r="Y13" s="61" t="s">
        <v>13</v>
      </c>
      <c r="Z13" s="61" t="s">
        <v>14</v>
      </c>
      <c r="AA13" s="61" t="s">
        <v>15</v>
      </c>
      <c r="AB13" s="61" t="s">
        <v>16</v>
      </c>
      <c r="AC13" s="61" t="s">
        <v>12</v>
      </c>
      <c r="AD13" s="61" t="s">
        <v>17</v>
      </c>
      <c r="AE13" s="61" t="s">
        <v>18</v>
      </c>
    </row>
    <row r="14" spans="1:31" x14ac:dyDescent="0.3">
      <c r="B14" s="66" t="s">
        <v>58</v>
      </c>
      <c r="C14" s="66"/>
      <c r="D14" s="66"/>
      <c r="E14" s="66"/>
      <c r="F14" s="66"/>
      <c r="G14" s="66"/>
      <c r="H14" s="65" t="s">
        <v>59</v>
      </c>
      <c r="L14" s="64">
        <f>Jogos!K3 + TIME(0,200,0)</f>
        <v>45692.940972222226</v>
      </c>
      <c r="M14" s="68" t="s">
        <v>60</v>
      </c>
      <c r="N14" s="67"/>
      <c r="O14" s="67"/>
      <c r="Q14" s="70" t="s">
        <v>61</v>
      </c>
      <c r="R14" s="69"/>
      <c r="S14" s="69"/>
    </row>
    <row r="15" spans="1:31" x14ac:dyDescent="0.3">
      <c r="A15" s="57">
        <v>3</v>
      </c>
      <c r="B15" s="74" t="str">
        <f ca="1">IFERROR(VLOOKUP($A15,$Q$11:$R$12, 2, FALSE), "")</f>
        <v>ROM</v>
      </c>
      <c r="C15" s="75">
        <v>3</v>
      </c>
      <c r="D15" s="71" t="s">
        <v>19</v>
      </c>
      <c r="E15" s="75">
        <v>3</v>
      </c>
      <c r="F15" s="72" t="str">
        <f ca="1">IFERROR(VLOOKUP($G15,$Q$11:$R$12, 2, FALSE), "")</f>
        <v>PSG</v>
      </c>
      <c r="G15" s="73">
        <v>4</v>
      </c>
      <c r="H15" s="71">
        <v>2</v>
      </c>
      <c r="I15" s="71"/>
      <c r="J15" s="71"/>
      <c r="K15" s="71"/>
      <c r="M15" s="58">
        <f ca="1">IFERROR(_xlfn.RANK.EQ(O15, O15:O15, 0), "")</f>
        <v>1</v>
      </c>
      <c r="N15" s="59" t="str">
        <f ca="1">IF(OR(C15="", E15=""), "", IF(OR(C15&gt;E15, C15=E15), B15, F15))</f>
        <v>ROM</v>
      </c>
      <c r="O15" s="58">
        <f ca="1">IF(OR(C15="", E15=""), "", VLOOKUP(N15, ClassGrupFases!$D$6:$P$21, 11, 0))</f>
        <v>84.884556143333356</v>
      </c>
      <c r="Q15" s="57">
        <f ca="1">IFERROR(_xlfn.RANK.EQ(S15, S15:S15, 0) + 1, "")</f>
        <v>2</v>
      </c>
      <c r="R15" s="60" t="str">
        <f ca="1">IF(OR(C15="", E15=""), "", IF(OR(C15&gt;E15, C15=E15), F15, B15))</f>
        <v>PSG</v>
      </c>
      <c r="S15" s="57">
        <f ca="1">IF(OR(C15="", E15=""), "", VLOOKUP(R15, ClassGrupFases!$D$6:$P$21, 11, 0))</f>
        <v>84.88395027333334</v>
      </c>
      <c r="U15" s="61" t="str">
        <f ca="1">IF(OR(C15 = "",E15 = ""), "", F15)</f>
        <v>PSG</v>
      </c>
      <c r="W15" s="61" t="str">
        <f>IF(OR(C15 = "",E15 = ""), "", IF(C15&gt;E15,B15, IF(E15&gt;C15,F15, "")))</f>
        <v/>
      </c>
      <c r="X15" s="61" t="str">
        <f ca="1">IF(OR(C15 = "",E15 = ""), "", IF(C15=E15,B15, ""))</f>
        <v>ROM</v>
      </c>
      <c r="Y15" s="61" t="str">
        <f ca="1">IF(OR(C15 = "",E15 = ""), "", IF(C15=E15,F15, ""))</f>
        <v>PSG</v>
      </c>
      <c r="Z15" s="61" t="str">
        <f>IF(OR(C15 = "",E15 = ""), "", IF(C15&gt;E15,F15, IF(E15&gt;C15,B15, "")))</f>
        <v/>
      </c>
      <c r="AA15" s="61" t="str">
        <f ca="1">IF(OR(C15 = "",E15 = ""), "", B15)</f>
        <v>ROM</v>
      </c>
      <c r="AB15" s="61">
        <f>IF(C15 = "", "", C15)</f>
        <v>3</v>
      </c>
      <c r="AC15" s="61" t="str">
        <f ca="1">IF(OR(C15 = "",E15 = ""), "", F15)</f>
        <v>PSG</v>
      </c>
      <c r="AD15" s="61">
        <f>IF(E15 = "", "", E15)</f>
        <v>3</v>
      </c>
      <c r="AE15" s="61">
        <f>IF(C15 = "", "", C15)</f>
        <v>3</v>
      </c>
    </row>
    <row r="16" spans="1:31" ht="25.5" x14ac:dyDescent="0.5">
      <c r="B16" s="63" t="s">
        <v>64</v>
      </c>
      <c r="C16" s="63"/>
      <c r="D16" s="63"/>
      <c r="E16" s="63"/>
      <c r="F16" s="63"/>
      <c r="G16" s="63"/>
      <c r="H16" s="63"/>
      <c r="U16" s="61" t="s">
        <v>11</v>
      </c>
      <c r="V16" s="61" t="s">
        <v>11</v>
      </c>
      <c r="W16" s="61" t="s">
        <v>12</v>
      </c>
      <c r="X16" s="61" t="s">
        <v>13</v>
      </c>
      <c r="Y16" s="61" t="s">
        <v>13</v>
      </c>
      <c r="Z16" s="61" t="s">
        <v>14</v>
      </c>
      <c r="AA16" s="61" t="s">
        <v>15</v>
      </c>
      <c r="AB16" s="61" t="s">
        <v>16</v>
      </c>
      <c r="AC16" s="61" t="s">
        <v>12</v>
      </c>
      <c r="AD16" s="61" t="s">
        <v>17</v>
      </c>
      <c r="AE16" s="61" t="s">
        <v>18</v>
      </c>
    </row>
    <row r="17" spans="1:31" x14ac:dyDescent="0.3">
      <c r="B17" s="66" t="s">
        <v>58</v>
      </c>
      <c r="C17" s="66"/>
      <c r="D17" s="66"/>
      <c r="E17" s="66"/>
      <c r="F17" s="66"/>
      <c r="G17" s="66"/>
      <c r="H17" s="65" t="s">
        <v>59</v>
      </c>
      <c r="L17" s="64">
        <f>Jogos!K3 + TIME(0,200,0)</f>
        <v>45692.940972222226</v>
      </c>
      <c r="M17" s="68" t="s">
        <v>60</v>
      </c>
      <c r="N17" s="67"/>
      <c r="O17" s="67"/>
      <c r="Q17" s="70" t="s">
        <v>61</v>
      </c>
      <c r="R17" s="69"/>
      <c r="S17" s="69"/>
    </row>
    <row r="18" spans="1:31" x14ac:dyDescent="0.3">
      <c r="A18" s="57">
        <v>1</v>
      </c>
      <c r="B18" s="62" t="str">
        <f ca="1">IFERROR(VLOOKUP($A18,$M$11:$N$12, 2, FALSE), "")</f>
        <v>IMI</v>
      </c>
      <c r="C18" s="75">
        <v>5</v>
      </c>
      <c r="D18" s="34" t="s">
        <v>19</v>
      </c>
      <c r="E18" s="75">
        <v>4</v>
      </c>
      <c r="F18" s="35" t="str">
        <f ca="1">IFERROR(VLOOKUP($G18,$M$11:$N$12, 2, FALSE), "")</f>
        <v>REA</v>
      </c>
      <c r="G18" s="57">
        <v>2</v>
      </c>
      <c r="H18" s="34">
        <v>1</v>
      </c>
      <c r="M18" s="58">
        <f ca="1">IFERROR(_xlfn.RANK.EQ(O18, O18:O18, 0), "")</f>
        <v>1</v>
      </c>
      <c r="N18" s="59" t="str">
        <f ca="1">IF(OR(C18="", E18=""), "", IF(OR(C18&gt;E18, C18=E18), B18, F18))</f>
        <v>IMI</v>
      </c>
      <c r="O18" s="58">
        <f ca="1">IF(OR(C18="", E18=""), "", VLOOKUP(N18, ClassGrupFases!$D$6:$P$21, 11, 0))</f>
        <v>84.884252123333354</v>
      </c>
      <c r="Q18" s="57">
        <f ca="1">IFERROR(_xlfn.RANK.EQ(S18, S18:S18, 0) + 1, "")</f>
        <v>2</v>
      </c>
      <c r="R18" s="60" t="str">
        <f ca="1">IF(OR(C18="", E18=""), "", IF(OR(C18&gt;E18, C18=E18), F18, B18))</f>
        <v>REA</v>
      </c>
      <c r="S18" s="57">
        <f ca="1">IF(OR(C18="", E18=""), "", VLOOKUP(R18, ClassGrupFases!$D$6:$P$21, 11, 0))</f>
        <v>45.264863344444436</v>
      </c>
      <c r="U18" s="61" t="str">
        <f ca="1">IF(OR(C18 = "",E18 = ""), "", F18)</f>
        <v>REA</v>
      </c>
      <c r="W18" s="61" t="str">
        <f ca="1">IF(OR(C18 = "",E18 = ""), "", IF(C18&gt;E18,B18, IF(E18&gt;C18,F18, "")))</f>
        <v>IMI</v>
      </c>
      <c r="X18" s="61" t="str">
        <f>IF(OR(C18 = "",E18 = ""), "", IF(C18=E18,B18, ""))</f>
        <v/>
      </c>
      <c r="Y18" s="61" t="str">
        <f>IF(OR(C18 = "",E18 = ""), "", IF(C18=E18,F18, ""))</f>
        <v/>
      </c>
      <c r="Z18" s="61" t="str">
        <f ca="1">IF(OR(C18 = "",E18 = ""), "", IF(C18&gt;E18,F18, IF(E18&gt;C18,B18, "")))</f>
        <v>REA</v>
      </c>
      <c r="AA18" s="61" t="str">
        <f ca="1">IF(OR(C18 = "",E18 = ""), "", B18)</f>
        <v>IMI</v>
      </c>
      <c r="AB18" s="61">
        <f>IF(C18 = "", "", C18)</f>
        <v>5</v>
      </c>
      <c r="AC18" s="61" t="str">
        <f ca="1">IF(OR(C18 = "",E18 = ""), "", F18)</f>
        <v>REA</v>
      </c>
      <c r="AD18" s="61">
        <f>IF(E18 = "", "", E18)</f>
        <v>4</v>
      </c>
      <c r="AE18" s="61">
        <f>IF(C18 = "", "", C18)</f>
        <v>5</v>
      </c>
    </row>
  </sheetData>
  <sheetProtection algorithmName="SHA-512" hashValue="FCP427F8R85+a1RcRlchwGg+sSVBD+QP35ett1TmIe/Gvu0NUY9g2pD8LcCJAZ+ZachAPcTjrZ+Ry7u7YMUmjg==" saltValue="1FeJQt6/N1MGlWTa1GZVv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6F65-3E05-4600-9E3E-1159CAE891D4}">
  <dimension ref="A1:E17"/>
  <sheetViews>
    <sheetView showGridLines="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H15" sqref="H15"/>
    </sheetView>
  </sheetViews>
  <sheetFormatPr defaultRowHeight="20.25" x14ac:dyDescent="0.35"/>
  <cols>
    <col min="1" max="1" width="1.7109375" style="77" customWidth="1"/>
    <col min="2" max="2" width="5.7109375" style="90" customWidth="1"/>
    <col min="3" max="3" width="50.7109375" style="79" customWidth="1"/>
    <col min="4" max="5" width="9.140625" style="91"/>
    <col min="6" max="16384" width="9.140625" style="76"/>
  </cols>
  <sheetData>
    <row r="1" spans="2:5" ht="21" x14ac:dyDescent="0.35">
      <c r="B1" s="78" t="s">
        <v>66</v>
      </c>
    </row>
    <row r="2" spans="2:5" x14ac:dyDescent="0.35">
      <c r="B2" s="80" t="s">
        <v>1</v>
      </c>
    </row>
    <row r="3" spans="2:5" ht="25.5" x14ac:dyDescent="0.5">
      <c r="B3" s="81" t="s">
        <v>65</v>
      </c>
      <c r="C3" s="81"/>
    </row>
    <row r="4" spans="2:5" x14ac:dyDescent="0.35">
      <c r="B4" s="82" t="s">
        <v>67</v>
      </c>
      <c r="C4" s="83" t="str">
        <f ca="1">IFERROR(INDEX(Finais!N:N,MATCH("Final",Finais!B:B,0)+2),"")</f>
        <v>IMI</v>
      </c>
      <c r="D4" s="91">
        <v>14</v>
      </c>
      <c r="E4" s="91">
        <v>14</v>
      </c>
    </row>
    <row r="5" spans="2:5" x14ac:dyDescent="0.35">
      <c r="B5" s="82" t="s">
        <v>68</v>
      </c>
      <c r="C5" s="83" t="str">
        <f ca="1">IFERROR(INDEX(Finais!R:R,MATCH("Final",Finais!B:B,0)+2),"")</f>
        <v>REA</v>
      </c>
      <c r="D5" s="91">
        <v>10</v>
      </c>
      <c r="E5" s="91">
        <v>12</v>
      </c>
    </row>
    <row r="6" spans="2:5" x14ac:dyDescent="0.35">
      <c r="B6" s="82" t="s">
        <v>69</v>
      </c>
      <c r="C6" s="83" t="str">
        <f ca="1">IFERROR(INDEX(Finais!N:N,MATCH("Disputa de 3º lugar",Finais!B:B,0)+2),"")</f>
        <v>ROM</v>
      </c>
      <c r="D6" s="91">
        <v>16</v>
      </c>
      <c r="E6" s="91">
        <v>10</v>
      </c>
    </row>
    <row r="7" spans="2:5" x14ac:dyDescent="0.35">
      <c r="B7" s="82" t="s">
        <v>70</v>
      </c>
      <c r="C7" s="83" t="str">
        <f ca="1">IFERROR(INDEX(Finais!R:R,MATCH("Disputa de 3º lugar",Finais!B:B,0)+2),"")</f>
        <v>PSG</v>
      </c>
      <c r="D7" s="91">
        <v>13</v>
      </c>
      <c r="E7" s="91">
        <v>9</v>
      </c>
    </row>
    <row r="8" spans="2:5" x14ac:dyDescent="0.35">
      <c r="B8" s="84" t="s">
        <v>71</v>
      </c>
      <c r="C8" s="85" t="str">
        <f ca="1">IFERROR(VLOOKUP(5,Finais!Q:R,2,FALSE),"")</f>
        <v>BAY</v>
      </c>
      <c r="D8" s="91">
        <v>15</v>
      </c>
      <c r="E8" s="91">
        <v>8</v>
      </c>
    </row>
    <row r="9" spans="2:5" x14ac:dyDescent="0.35">
      <c r="B9" s="84" t="s">
        <v>72</v>
      </c>
      <c r="C9" s="85" t="str">
        <f ca="1">IFERROR(VLOOKUP(6,Finais!Q:R,2,FALSE),"")</f>
        <v>JUV</v>
      </c>
      <c r="D9" s="91">
        <v>12</v>
      </c>
      <c r="E9" s="91">
        <v>7</v>
      </c>
    </row>
    <row r="10" spans="2:5" x14ac:dyDescent="0.35">
      <c r="B10" s="84" t="s">
        <v>73</v>
      </c>
      <c r="C10" s="85" t="str">
        <f ca="1">IFERROR(VLOOKUP(7,Finais!Q:R,2,FALSE),"")</f>
        <v>WOL</v>
      </c>
      <c r="D10" s="91">
        <v>11</v>
      </c>
      <c r="E10" s="91">
        <v>6</v>
      </c>
    </row>
    <row r="11" spans="2:5" x14ac:dyDescent="0.35">
      <c r="B11" s="86" t="s">
        <v>74</v>
      </c>
      <c r="C11" s="87" t="str">
        <f ca="1">IFERROR(VLOOKUP(8,Finais!Q:R,2,FALSE),"")</f>
        <v>ESP</v>
      </c>
      <c r="D11" s="91">
        <v>9</v>
      </c>
      <c r="E11" s="91">
        <v>5</v>
      </c>
    </row>
    <row r="12" spans="2:5" x14ac:dyDescent="0.35">
      <c r="B12" s="88" t="s">
        <v>75</v>
      </c>
      <c r="C12" s="89" t="str">
        <f ca="1">IFERROR(VLOOKUP(9,ClassGrupFases!$C$35:$D$40,2,FALSE),"")</f>
        <v>BAR</v>
      </c>
      <c r="D12" s="91">
        <v>8</v>
      </c>
      <c r="E12" s="91">
        <v>4</v>
      </c>
    </row>
    <row r="13" spans="2:5" x14ac:dyDescent="0.35">
      <c r="B13" s="88" t="s">
        <v>76</v>
      </c>
      <c r="C13" s="89" t="str">
        <f ca="1">IFERROR(VLOOKUP(10,ClassGrupFases!$C$35:$D$40,2,FALSE),"")</f>
        <v>NAP</v>
      </c>
      <c r="D13" s="91">
        <v>7</v>
      </c>
      <c r="E13" s="91">
        <v>3</v>
      </c>
    </row>
    <row r="14" spans="2:5" x14ac:dyDescent="0.35">
      <c r="B14" s="88" t="s">
        <v>77</v>
      </c>
      <c r="C14" s="89" t="str">
        <f ca="1">IFERROR(VLOOKUP(11,ClassGrupFases!$C$35:$D$40,2,FALSE),"")</f>
        <v>MIL</v>
      </c>
      <c r="D14" s="91">
        <v>6</v>
      </c>
      <c r="E14" s="91">
        <v>2</v>
      </c>
    </row>
    <row r="15" spans="2:5" x14ac:dyDescent="0.35">
      <c r="B15" s="88" t="s">
        <v>78</v>
      </c>
      <c r="C15" s="89" t="str">
        <f ca="1">IFERROR(VLOOKUP(12,ClassGrupFases!$C$35:$D$40,2,FALSE),"")</f>
        <v>BOR</v>
      </c>
      <c r="D15" s="91">
        <v>5</v>
      </c>
      <c r="E15" s="91">
        <v>1</v>
      </c>
    </row>
    <row r="16" spans="2:5" x14ac:dyDescent="0.35">
      <c r="B16" s="88" t="s">
        <v>79</v>
      </c>
      <c r="C16" s="89" t="str">
        <f ca="1">IFERROR(VLOOKUP(13,ClassGrupFases!$C$35:$D$40,2,FALSE),"")</f>
        <v>POR</v>
      </c>
      <c r="D16" s="91">
        <v>4</v>
      </c>
    </row>
    <row r="17" spans="2:4" x14ac:dyDescent="0.35">
      <c r="B17" s="88" t="s">
        <v>80</v>
      </c>
      <c r="C17" s="89" t="str">
        <f ca="1">IFERROR(VLOOKUP(14,ClassGrupFases!$C$35:$D$40,2,FALSE),"")</f>
        <v>NEW</v>
      </c>
      <c r="D17" s="91">
        <v>3</v>
      </c>
    </row>
  </sheetData>
  <sheetProtection algorithmName="SHA-512" hashValue="IagpQT08gtMYHFVl31/Efc5fMHqY4Jo0bK08VV258sAuCGeNL/ujuOcFI9KmottJMVD3vEAlohkzgYtynRPLXQ==" saltValue="w1PHGTw63r/5oNUG0bAHf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Equipes</vt:lpstr>
      <vt:lpstr>Grupos</vt:lpstr>
      <vt:lpstr>Jogos</vt:lpstr>
      <vt:lpstr>ClassGrupFases</vt:lpstr>
      <vt:lpstr>Classificação</vt:lpstr>
      <vt:lpstr>Finais</vt:lpstr>
      <vt:lpstr>Premiação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2025-02-04T22:08:15Z</dcterms:created>
  <dcterms:modified xsi:type="dcterms:W3CDTF">2025-02-07T19:06:00Z</dcterms:modified>
</cp:coreProperties>
</file>